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u25033\Desktop\水道料金改定のお知らせ\"/>
    </mc:Choice>
  </mc:AlternateContent>
  <xr:revisionPtr revIDLastSave="0" documentId="13_ncr:1_{9A209C60-4CFE-4F0A-99DE-CBCA281733A1}" xr6:coauthVersionLast="47" xr6:coauthVersionMax="47" xr10:uidLastSave="{00000000-0000-0000-0000-000000000000}"/>
  <workbookProtection workbookAlgorithmName="SHA-512" workbookHashValue="gq8d62f/EyV2IsPbeIiB3oo6hh7irzlwtqQQmHZrhSWQVC82H2sJRvy4H64Du4iwwCzWuhre4VEGyu05EZCBkA==" workbookSaltValue="PhOYnOhT7U4ZFUe1X5T9aA==" workbookSpinCount="100000" lockStructure="1"/>
  <bookViews>
    <workbookView xWindow="3816" yWindow="1284" windowWidth="14856" windowHeight="9960" xr2:uid="{00000000-000D-0000-FFFF-FFFF00000000}"/>
  </bookViews>
  <sheets>
    <sheet name="料金計算ツール" sheetId="1" r:id="rId1"/>
    <sheet name="非表示⇒" sheetId="7" state="hidden" r:id="rId2"/>
    <sheet name="水道(2月)" sheetId="2" state="hidden" r:id="rId3"/>
    <sheet name="下水道(2月)" sheetId="3" state="hidden" r:id="rId4"/>
    <sheet name="料金確認" sheetId="4" state="hidden" r:id="rId5"/>
    <sheet name="給水条例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H22" i="2" l="1"/>
  <c r="H21" i="2"/>
  <c r="H20" i="2"/>
  <c r="H19" i="2"/>
  <c r="C19" i="4"/>
  <c r="C17" i="4"/>
  <c r="C15" i="4"/>
  <c r="C14" i="4"/>
  <c r="C8" i="3"/>
  <c r="H11" i="3" s="1"/>
  <c r="B8" i="3"/>
  <c r="D8" i="3" s="1"/>
  <c r="C8" i="2"/>
  <c r="B8" i="2"/>
  <c r="D8" i="2" s="1"/>
  <c r="I19" i="3"/>
  <c r="AE12" i="3"/>
  <c r="L5" i="3" s="1"/>
  <c r="I27" i="3" s="1"/>
  <c r="AB12" i="3"/>
  <c r="AE11" i="3"/>
  <c r="K5" i="3" s="1"/>
  <c r="I25" i="3" s="1"/>
  <c r="AB11" i="3"/>
  <c r="AB3" i="3" s="1"/>
  <c r="AB10" i="3"/>
  <c r="AB9" i="3"/>
  <c r="AE8" i="3"/>
  <c r="AB8" i="3"/>
  <c r="T8" i="3"/>
  <c r="T9" i="3" s="1"/>
  <c r="S8" i="3"/>
  <c r="S9" i="3" s="1"/>
  <c r="S10" i="3" s="1"/>
  <c r="S11" i="3" s="1"/>
  <c r="S12" i="3" s="1"/>
  <c r="S13" i="3" s="1"/>
  <c r="S14" i="3" s="1"/>
  <c r="R8" i="3"/>
  <c r="R7" i="3"/>
  <c r="AG5" i="3"/>
  <c r="AE5" i="3"/>
  <c r="AE10" i="3" s="1"/>
  <c r="J5" i="3" s="1"/>
  <c r="I23" i="3" s="1"/>
  <c r="H5" i="3"/>
  <c r="Q3" i="3"/>
  <c r="S14" i="2"/>
  <c r="S13" i="2"/>
  <c r="S12" i="2"/>
  <c r="S11" i="2"/>
  <c r="S10" i="2"/>
  <c r="S9" i="2"/>
  <c r="S8" i="2"/>
  <c r="S7" i="2"/>
  <c r="AD5" i="2"/>
  <c r="AD3" i="2" s="1"/>
  <c r="AO3" i="2"/>
  <c r="AN3" i="2"/>
  <c r="AM3" i="2"/>
  <c r="AK3" i="2"/>
  <c r="AJ3" i="2"/>
  <c r="AI3" i="2"/>
  <c r="R3" i="2"/>
  <c r="F11" i="4"/>
  <c r="E11" i="4"/>
  <c r="D11" i="4"/>
  <c r="C11" i="4"/>
  <c r="H12" i="2" l="1"/>
  <c r="H8" i="2"/>
  <c r="E11" i="3"/>
  <c r="D10" i="3" s="1"/>
  <c r="D31" i="1"/>
  <c r="E12" i="2"/>
  <c r="T10" i="3"/>
  <c r="R9" i="3"/>
  <c r="AE7" i="3"/>
  <c r="G5" i="3" s="1"/>
  <c r="AE9" i="3"/>
  <c r="I5" i="3" s="1"/>
  <c r="I21" i="3" s="1"/>
  <c r="G8" i="3"/>
  <c r="AD7" i="2"/>
  <c r="AD13" i="2"/>
  <c r="AE13" i="2" s="1"/>
  <c r="AD12" i="2"/>
  <c r="AE12" i="2" s="1"/>
  <c r="AD9" i="2"/>
  <c r="AE9" i="2" s="1"/>
  <c r="AD8" i="2"/>
  <c r="AE8" i="2" s="1"/>
  <c r="AD11" i="2"/>
  <c r="AE11" i="2" s="1"/>
  <c r="AD10" i="2"/>
  <c r="AE10" i="2" s="1"/>
  <c r="D24" i="2"/>
  <c r="E14" i="2"/>
  <c r="AE5" i="2"/>
  <c r="I8" i="2" l="1"/>
  <c r="J8" i="2" s="1"/>
  <c r="K8" i="2" s="1"/>
  <c r="D11" i="2"/>
  <c r="E31" i="1"/>
  <c r="F14" i="3"/>
  <c r="E13" i="3" s="1"/>
  <c r="G31" i="3"/>
  <c r="J17" i="2"/>
  <c r="F17" i="2"/>
  <c r="G17" i="3"/>
  <c r="I17" i="3"/>
  <c r="R10" i="3"/>
  <c r="T11" i="3"/>
  <c r="H8" i="3"/>
  <c r="G19" i="3" s="1"/>
  <c r="AE3" i="2"/>
  <c r="AF5" i="2"/>
  <c r="I5" i="2"/>
  <c r="L5" i="2"/>
  <c r="J5" i="2"/>
  <c r="H5" i="2"/>
  <c r="K5" i="2"/>
  <c r="AE7" i="2"/>
  <c r="AD6" i="2"/>
  <c r="M5" i="2"/>
  <c r="L17" i="2" l="1"/>
  <c r="J18" i="2"/>
  <c r="K19" i="3"/>
  <c r="F18" i="3" s="1"/>
  <c r="R11" i="3"/>
  <c r="T12" i="3"/>
  <c r="I8" i="3"/>
  <c r="G21" i="3" s="1"/>
  <c r="K17" i="3"/>
  <c r="F16" i="3" s="1"/>
  <c r="H17" i="2"/>
  <c r="H18" i="2"/>
  <c r="F18" i="2"/>
  <c r="AG5" i="2"/>
  <c r="AG3" i="2" s="1"/>
  <c r="AF3" i="2"/>
  <c r="L18" i="2" l="1"/>
  <c r="J20" i="2"/>
  <c r="F20" i="2"/>
  <c r="F19" i="2"/>
  <c r="J19" i="2"/>
  <c r="J8" i="3"/>
  <c r="K21" i="3"/>
  <c r="F20" i="3" s="1"/>
  <c r="T13" i="3"/>
  <c r="R12" i="3"/>
  <c r="AG12" i="2"/>
  <c r="AG11" i="2"/>
  <c r="AG10" i="2"/>
  <c r="AG7" i="2"/>
  <c r="AG8" i="2"/>
  <c r="AG9" i="2"/>
  <c r="AG13" i="2"/>
  <c r="AF10" i="2"/>
  <c r="AF9" i="2"/>
  <c r="AF13" i="2"/>
  <c r="AF8" i="2"/>
  <c r="AF11" i="2"/>
  <c r="AF12" i="2"/>
  <c r="AF7" i="2"/>
  <c r="L8" i="2"/>
  <c r="L20" i="2" l="1"/>
  <c r="L19" i="2"/>
  <c r="M8" i="2"/>
  <c r="E8" i="2" s="1"/>
  <c r="F8" i="2" s="1"/>
  <c r="J21" i="2"/>
  <c r="F21" i="2"/>
  <c r="G23" i="3"/>
  <c r="K8" i="3"/>
  <c r="T14" i="3"/>
  <c r="R14" i="3" s="1"/>
  <c r="R13" i="3"/>
  <c r="AF6" i="2"/>
  <c r="I6" i="2"/>
  <c r="H6" i="2"/>
  <c r="J7" i="2"/>
  <c r="M6" i="2"/>
  <c r="L6" i="2"/>
  <c r="J6" i="2"/>
  <c r="L7" i="2"/>
  <c r="K7" i="2"/>
  <c r="M7" i="2"/>
  <c r="H7" i="2"/>
  <c r="K6" i="2"/>
  <c r="I7" i="2"/>
  <c r="L8" i="3" l="1"/>
  <c r="G27" i="3" s="1"/>
  <c r="K27" i="3" s="1"/>
  <c r="F26" i="3" s="1"/>
  <c r="L21" i="2"/>
  <c r="J22" i="2"/>
  <c r="F22" i="2"/>
  <c r="G25" i="3"/>
  <c r="K23" i="3"/>
  <c r="F22" i="3" s="1"/>
  <c r="E8" i="3" l="1"/>
  <c r="F8" i="3" s="1"/>
  <c r="L22" i="2"/>
  <c r="D32" i="1"/>
  <c r="J23" i="2"/>
  <c r="K25" i="3"/>
  <c r="G29" i="3" s="1"/>
  <c r="I31" i="3" l="1"/>
  <c r="K31" i="3" s="1"/>
  <c r="E32" i="1"/>
  <c r="E33" i="1" s="1"/>
  <c r="F24" i="3"/>
  <c r="D33" i="1"/>
  <c r="E20" i="1" s="1"/>
  <c r="L23" i="2"/>
  <c r="G24" i="2"/>
  <c r="J24" i="2" s="1"/>
  <c r="L24" i="2" s="1"/>
  <c r="E22" i="1" l="1"/>
  <c r="C20" i="4" s="1"/>
  <c r="E18" i="1" l="1"/>
  <c r="C16" i="4"/>
  <c r="C1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 恵美（Nakamura Megumi）</author>
  </authors>
  <commentList>
    <comment ref="E2" authorId="0" shapeId="0" xr:uid="{9367D6F2-8E6F-4BEB-BF92-2B150F73F818}">
      <text>
        <r>
          <rPr>
            <sz val="9"/>
            <color indexed="81"/>
            <rFont val="MS P ゴシック"/>
            <family val="3"/>
            <charset val="128"/>
          </rPr>
          <t xml:space="preserve">口径別の金額参照は手動で変更
</t>
        </r>
      </text>
    </comment>
  </commentList>
</comments>
</file>

<file path=xl/sharedStrings.xml><?xml version="1.0" encoding="utf-8"?>
<sst xmlns="http://schemas.openxmlformats.org/spreadsheetml/2006/main" count="225" uniqueCount="130">
  <si>
    <t>水道料金・下水道使用料　簡易計算ツール（一般用・２か月）</t>
    <rPh sb="0" eb="2">
      <t>スイドウ</t>
    </rPh>
    <rPh sb="2" eb="4">
      <t>リョウキン</t>
    </rPh>
    <rPh sb="5" eb="8">
      <t>ゲスイドウ</t>
    </rPh>
    <rPh sb="8" eb="11">
      <t>シヨウリョウ</t>
    </rPh>
    <rPh sb="12" eb="14">
      <t>カンイ</t>
    </rPh>
    <rPh sb="14" eb="16">
      <t>ケイサン</t>
    </rPh>
    <rPh sb="20" eb="23">
      <t>イッパンヨウ</t>
    </rPh>
    <rPh sb="26" eb="27">
      <t>ゲツ</t>
    </rPh>
    <phoneticPr fontId="4"/>
  </si>
  <si>
    <t>お客さまのご使用水量から、</t>
    <rPh sb="1" eb="2">
      <t>キャク</t>
    </rPh>
    <rPh sb="6" eb="8">
      <t>シヨウ</t>
    </rPh>
    <rPh sb="8" eb="10">
      <t>スイリョウ</t>
    </rPh>
    <phoneticPr fontId="6"/>
  </si>
  <si>
    <t>口径別料金体系での水道料金・下水道使用料を簡易計算します。</t>
    <rPh sb="0" eb="2">
      <t>コウケイ</t>
    </rPh>
    <rPh sb="2" eb="3">
      <t>ベツ</t>
    </rPh>
    <rPh sb="3" eb="5">
      <t>リョウキン</t>
    </rPh>
    <rPh sb="5" eb="7">
      <t>タイケイ</t>
    </rPh>
    <rPh sb="9" eb="11">
      <t>スイドウ</t>
    </rPh>
    <rPh sb="11" eb="13">
      <t>リョウキン</t>
    </rPh>
    <rPh sb="14" eb="17">
      <t>ゲスイドウ</t>
    </rPh>
    <rPh sb="17" eb="20">
      <t>シヨウリョウ</t>
    </rPh>
    <rPh sb="21" eb="23">
      <t>カンイ</t>
    </rPh>
    <rPh sb="23" eb="25">
      <t>ケイサン</t>
    </rPh>
    <phoneticPr fontId="6"/>
  </si>
  <si>
    <t>条　件　の　入　力</t>
    <rPh sb="0" eb="1">
      <t>ジョウ</t>
    </rPh>
    <rPh sb="2" eb="3">
      <t>ケン</t>
    </rPh>
    <rPh sb="6" eb="7">
      <t>ニュウ</t>
    </rPh>
    <rPh sb="8" eb="9">
      <t>チカラ</t>
    </rPh>
    <phoneticPr fontId="6"/>
  </si>
  <si>
    <t>　①「使用水量・料金等のお知らせ」をご用意ください。</t>
    <rPh sb="3" eb="5">
      <t>シヨウ</t>
    </rPh>
    <rPh sb="5" eb="7">
      <t>スイリョウ</t>
    </rPh>
    <rPh sb="8" eb="10">
      <t>リョウキン</t>
    </rPh>
    <rPh sb="10" eb="11">
      <t>トウ</t>
    </rPh>
    <rPh sb="13" eb="14">
      <t>シ</t>
    </rPh>
    <rPh sb="19" eb="21">
      <t>ヨウイ</t>
    </rPh>
    <phoneticPr fontId="4"/>
  </si>
  <si>
    <t>黄色部分</t>
    <rPh sb="0" eb="4">
      <t>キイロブブン</t>
    </rPh>
    <phoneticPr fontId="4"/>
  </si>
  <si>
    <t>に数値を入力してください。</t>
    <phoneticPr fontId="4"/>
  </si>
  <si>
    <t>㎜</t>
    <phoneticPr fontId="4"/>
  </si>
  <si>
    <t>㎥</t>
    <phoneticPr fontId="4"/>
  </si>
  <si>
    <t>計　算　結　果</t>
    <rPh sb="0" eb="1">
      <t>ケイ</t>
    </rPh>
    <rPh sb="2" eb="3">
      <t>サン</t>
    </rPh>
    <rPh sb="4" eb="5">
      <t>ケツ</t>
    </rPh>
    <rPh sb="6" eb="7">
      <t>ハテ</t>
    </rPh>
    <phoneticPr fontId="6"/>
  </si>
  <si>
    <t>請求予定金額（税込み）</t>
    <rPh sb="0" eb="2">
      <t>セイキュウ</t>
    </rPh>
    <rPh sb="2" eb="4">
      <t>ヨテイ</t>
    </rPh>
    <rPh sb="4" eb="6">
      <t>キンガク</t>
    </rPh>
    <rPh sb="7" eb="9">
      <t>ゼイコ</t>
    </rPh>
    <phoneticPr fontId="6"/>
  </si>
  <si>
    <t>水道料金（税込み）</t>
    <rPh sb="0" eb="2">
      <t>スイドウ</t>
    </rPh>
    <rPh sb="2" eb="4">
      <t>リョウキン</t>
    </rPh>
    <phoneticPr fontId="6"/>
  </si>
  <si>
    <t>下水道使用料（税込み）</t>
    <rPh sb="0" eb="3">
      <t>ゲスイドウ</t>
    </rPh>
    <rPh sb="3" eb="6">
      <t>シヨウリョウ</t>
    </rPh>
    <phoneticPr fontId="6"/>
  </si>
  <si>
    <t>※消費税は10%です。</t>
    <rPh sb="1" eb="3">
      <t>ショウヒ</t>
    </rPh>
    <rPh sb="3" eb="4">
      <t>ゼイ</t>
    </rPh>
    <phoneticPr fontId="6"/>
  </si>
  <si>
    <t>【料金内訳（税抜き）・２か月】</t>
    <rPh sb="1" eb="3">
      <t>リョウキン</t>
    </rPh>
    <rPh sb="3" eb="5">
      <t>ウチワケ</t>
    </rPh>
    <rPh sb="6" eb="8">
      <t>ゼイヌ</t>
    </rPh>
    <rPh sb="13" eb="14">
      <t>ゲツ</t>
    </rPh>
    <phoneticPr fontId="6"/>
  </si>
  <si>
    <t>水道料金(円)</t>
    <rPh sb="0" eb="2">
      <t>スイドウ</t>
    </rPh>
    <rPh sb="2" eb="4">
      <t>リョウキン</t>
    </rPh>
    <rPh sb="5" eb="6">
      <t>エン</t>
    </rPh>
    <phoneticPr fontId="4"/>
  </si>
  <si>
    <t>下水道使用料(円)</t>
    <rPh sb="0" eb="3">
      <t>ゲスイドウ</t>
    </rPh>
    <rPh sb="3" eb="6">
      <t>シヨウリョウ</t>
    </rPh>
    <phoneticPr fontId="4"/>
  </si>
  <si>
    <t>基本料金</t>
    <rPh sb="0" eb="2">
      <t>キホン</t>
    </rPh>
    <rPh sb="2" eb="4">
      <t>リョウキン</t>
    </rPh>
    <phoneticPr fontId="4"/>
  </si>
  <si>
    <t>従量料金</t>
    <rPh sb="0" eb="2">
      <t>ジュウリョウ</t>
    </rPh>
    <rPh sb="2" eb="4">
      <t>リョウキン</t>
    </rPh>
    <phoneticPr fontId="4"/>
  </si>
  <si>
    <t>水道メータ口径(mm)</t>
    <rPh sb="0" eb="2">
      <t>スイドウ</t>
    </rPh>
    <rPh sb="5" eb="7">
      <t>コウケイ</t>
    </rPh>
    <phoneticPr fontId="6"/>
  </si>
  <si>
    <r>
      <t>使用水量(m</t>
    </r>
    <r>
      <rPr>
        <vertAlign val="superscript"/>
        <sz val="11"/>
        <color theme="1"/>
        <rFont val="Yu Gothic"/>
        <family val="3"/>
        <charset val="128"/>
        <scheme val="minor"/>
      </rPr>
      <t>3</t>
    </r>
    <r>
      <rPr>
        <sz val="11"/>
        <color theme="1"/>
        <rFont val="Yu Gothic"/>
        <family val="2"/>
        <scheme val="minor"/>
      </rPr>
      <t>)</t>
    </r>
    <rPh sb="0" eb="2">
      <t>シヨウ</t>
    </rPh>
    <rPh sb="2" eb="4">
      <t>スイリョウ</t>
    </rPh>
    <phoneticPr fontId="6"/>
  </si>
  <si>
    <t>水道料金(円・税込み)</t>
    <rPh sb="0" eb="2">
      <t>スイドウ</t>
    </rPh>
    <rPh sb="2" eb="4">
      <t>リョウキン</t>
    </rPh>
    <rPh sb="5" eb="6">
      <t>エン</t>
    </rPh>
    <rPh sb="7" eb="9">
      <t>ゼイコ</t>
    </rPh>
    <phoneticPr fontId="6"/>
  </si>
  <si>
    <t>下水道使用料(円・税込み)</t>
    <rPh sb="0" eb="3">
      <t>ゲスイドウ</t>
    </rPh>
    <rPh sb="3" eb="6">
      <t>シヨウリョウ</t>
    </rPh>
    <phoneticPr fontId="6"/>
  </si>
  <si>
    <t>合計料金(円・税込み)</t>
    <rPh sb="0" eb="2">
      <t>ゴウケイ</t>
    </rPh>
    <rPh sb="2" eb="4">
      <t>リョウキン</t>
    </rPh>
    <phoneticPr fontId="6"/>
  </si>
  <si>
    <t>口径
(mm)</t>
    <rPh sb="0" eb="2">
      <t>コウケイ</t>
    </rPh>
    <phoneticPr fontId="6"/>
  </si>
  <si>
    <r>
      <t>２月当たり
使用水量
(m</t>
    </r>
    <r>
      <rPr>
        <vertAlign val="superscript"/>
        <sz val="11"/>
        <color theme="1"/>
        <rFont val="Yu Gothic"/>
        <family val="3"/>
        <charset val="128"/>
        <scheme val="minor"/>
      </rPr>
      <t>3</t>
    </r>
    <r>
      <rPr>
        <sz val="11"/>
        <color theme="1"/>
        <rFont val="Yu Gothic"/>
        <family val="2"/>
        <scheme val="minor"/>
      </rPr>
      <t>)</t>
    </r>
    <rPh sb="1" eb="2">
      <t>ガツ</t>
    </rPh>
    <rPh sb="2" eb="3">
      <t>ア</t>
    </rPh>
    <rPh sb="6" eb="8">
      <t>シヨウ</t>
    </rPh>
    <rPh sb="8" eb="10">
      <t>スイリョウ</t>
    </rPh>
    <phoneticPr fontId="6"/>
  </si>
  <si>
    <t>基本料金
（円税抜）</t>
    <rPh sb="0" eb="2">
      <t>キホン</t>
    </rPh>
    <rPh sb="2" eb="4">
      <t>リョウキン</t>
    </rPh>
    <rPh sb="6" eb="7">
      <t>エン</t>
    </rPh>
    <rPh sb="7" eb="8">
      <t>ゼイ</t>
    </rPh>
    <rPh sb="8" eb="9">
      <t>ヌ</t>
    </rPh>
    <phoneticPr fontId="6"/>
  </si>
  <si>
    <t>従量料金
（円税抜）</t>
    <rPh sb="0" eb="2">
      <t>ジュウリョウ</t>
    </rPh>
    <rPh sb="2" eb="4">
      <t>リョウキン</t>
    </rPh>
    <rPh sb="6" eb="7">
      <t>エン</t>
    </rPh>
    <rPh sb="7" eb="8">
      <t>ゼイ</t>
    </rPh>
    <rPh sb="8" eb="9">
      <t>ヌ</t>
    </rPh>
    <phoneticPr fontId="6"/>
  </si>
  <si>
    <t>水道料金(円税抜き)</t>
    <rPh sb="0" eb="2">
      <t>スイドウ</t>
    </rPh>
    <rPh sb="2" eb="4">
      <t>リョウキン</t>
    </rPh>
    <rPh sb="5" eb="6">
      <t>エン</t>
    </rPh>
    <rPh sb="6" eb="8">
      <t>ゼイヌ</t>
    </rPh>
    <phoneticPr fontId="6"/>
  </si>
  <si>
    <t>第一段階</t>
  </si>
  <si>
    <t>第二段階</t>
  </si>
  <si>
    <t>第三段階</t>
    <rPh sb="1" eb="2">
      <t>サン</t>
    </rPh>
    <phoneticPr fontId="6"/>
  </si>
  <si>
    <t>第四段階</t>
    <rPh sb="1" eb="2">
      <t>ヨン</t>
    </rPh>
    <phoneticPr fontId="6"/>
  </si>
  <si>
    <t>第五段階</t>
    <rPh sb="1" eb="2">
      <t>ゴ</t>
    </rPh>
    <phoneticPr fontId="6"/>
  </si>
  <si>
    <t>第六段階</t>
    <rPh sb="1" eb="2">
      <t>ロク</t>
    </rPh>
    <phoneticPr fontId="6"/>
  </si>
  <si>
    <t>口径</t>
    <rPh sb="0" eb="2">
      <t>コウケイ</t>
    </rPh>
    <phoneticPr fontId="6"/>
  </si>
  <si>
    <t>㎥まで使用</t>
    <rPh sb="3" eb="5">
      <t>シヨウ</t>
    </rPh>
    <phoneticPr fontId="6"/>
  </si>
  <si>
    <t>↓プルダウンで選択</t>
    <rPh sb="7" eb="9">
      <t>センタク</t>
    </rPh>
    <phoneticPr fontId="6"/>
  </si>
  <si>
    <t>改定料金</t>
    <rPh sb="0" eb="2">
      <t>カイテイ</t>
    </rPh>
    <rPh sb="2" eb="4">
      <t>リョウキン</t>
    </rPh>
    <phoneticPr fontId="6"/>
  </si>
  <si>
    <t>現行料金</t>
    <rPh sb="0" eb="2">
      <t>ゲンコウ</t>
    </rPh>
    <rPh sb="2" eb="4">
      <t>リョウキン</t>
    </rPh>
    <phoneticPr fontId="6"/>
  </si>
  <si>
    <t>現行料金</t>
  </si>
  <si>
    <t>改定料金</t>
  </si>
  <si>
    <t>円：税抜</t>
    <rPh sb="0" eb="1">
      <t>エン</t>
    </rPh>
    <rPh sb="2" eb="4">
      <t>ゼイヌ</t>
    </rPh>
    <phoneticPr fontId="6"/>
  </si>
  <si>
    <t>円：税抜</t>
  </si>
  <si>
    <r>
      <t>口径</t>
    </r>
    <r>
      <rPr>
        <sz val="11"/>
        <color theme="1"/>
        <rFont val="Calibri"/>
        <family val="3"/>
        <charset val="161"/>
      </rPr>
      <t>φ</t>
    </r>
    <r>
      <rPr>
        <sz val="11"/>
        <color theme="1"/>
        <rFont val="BIZ UDPゴシック"/>
        <family val="3"/>
        <charset val="128"/>
      </rPr>
      <t>20</t>
    </r>
    <phoneticPr fontId="6"/>
  </si>
  <si>
    <t>口径φ30以上</t>
  </si>
  <si>
    <t>第一段階</t>
    <rPh sb="0" eb="1">
      <t>ダイ</t>
    </rPh>
    <rPh sb="1" eb="2">
      <t>イチ</t>
    </rPh>
    <rPh sb="2" eb="4">
      <t>ダンカイ</t>
    </rPh>
    <phoneticPr fontId="6"/>
  </si>
  <si>
    <t>第二段階</t>
    <rPh sb="0" eb="1">
      <t>ダイ</t>
    </rPh>
    <rPh sb="1" eb="2">
      <t>ニ</t>
    </rPh>
    <rPh sb="2" eb="4">
      <t>ダンカイ</t>
    </rPh>
    <phoneticPr fontId="6"/>
  </si>
  <si>
    <t>第三段階</t>
    <rPh sb="0" eb="1">
      <t>ダイ</t>
    </rPh>
    <rPh sb="1" eb="2">
      <t>サン</t>
    </rPh>
    <rPh sb="2" eb="4">
      <t>ダンカイ</t>
    </rPh>
    <phoneticPr fontId="6"/>
  </si>
  <si>
    <t>【計算手順】</t>
    <rPh sb="1" eb="3">
      <t>ケイサン</t>
    </rPh>
    <rPh sb="3" eb="5">
      <t>テジュン</t>
    </rPh>
    <phoneticPr fontId="6"/>
  </si>
  <si>
    <t>第四段階</t>
    <rPh sb="0" eb="1">
      <t>ダイ</t>
    </rPh>
    <rPh sb="1" eb="2">
      <t>ヨン</t>
    </rPh>
    <rPh sb="2" eb="4">
      <t>ダンカイ</t>
    </rPh>
    <phoneticPr fontId="6"/>
  </si>
  <si>
    <t>第五段階</t>
    <rPh sb="0" eb="1">
      <t>ダイ</t>
    </rPh>
    <rPh sb="1" eb="2">
      <t>ゴ</t>
    </rPh>
    <rPh sb="2" eb="4">
      <t>ダンカイ</t>
    </rPh>
    <phoneticPr fontId="6"/>
  </si>
  <si>
    <t>第六段階</t>
    <rPh sb="0" eb="1">
      <t>ダイ</t>
    </rPh>
    <rPh sb="1" eb="2">
      <t>ロク</t>
    </rPh>
    <rPh sb="2" eb="4">
      <t>ダンカイ</t>
    </rPh>
    <phoneticPr fontId="6"/>
  </si>
  <si>
    <t>第七段階</t>
    <rPh sb="0" eb="1">
      <t>ダイ</t>
    </rPh>
    <rPh sb="1" eb="2">
      <t>ナナ</t>
    </rPh>
    <rPh sb="2" eb="4">
      <t>ダンカイ</t>
    </rPh>
    <phoneticPr fontId="6"/>
  </si>
  <si>
    <t>基本料金</t>
    <rPh sb="0" eb="2">
      <t>キホン</t>
    </rPh>
    <rPh sb="2" eb="4">
      <t>リョウキン</t>
    </rPh>
    <phoneticPr fontId="6"/>
  </si>
  <si>
    <t>第八段階</t>
    <rPh sb="0" eb="1">
      <t>ダイ</t>
    </rPh>
    <rPh sb="1" eb="2">
      <t>ハチ</t>
    </rPh>
    <rPh sb="2" eb="4">
      <t>ダンカイ</t>
    </rPh>
    <phoneticPr fontId="6"/>
  </si>
  <si>
    <t>メータ口径</t>
    <rPh sb="3" eb="5">
      <t>コウケイ</t>
    </rPh>
    <phoneticPr fontId="6"/>
  </si>
  <si>
    <t>ミリメートルですので、</t>
    <phoneticPr fontId="6"/>
  </si>
  <si>
    <t>円です。</t>
    <rPh sb="0" eb="1">
      <t>エン</t>
    </rPh>
    <phoneticPr fontId="6"/>
  </si>
  <si>
    <t>従量料金</t>
    <rPh sb="0" eb="2">
      <t>ジュウリョウ</t>
    </rPh>
    <rPh sb="2" eb="4">
      <t>リョウキン</t>
    </rPh>
    <phoneticPr fontId="6"/>
  </si>
  <si>
    <t>0～10㎥</t>
  </si>
  <si>
    <t>立方メートル×</t>
    <rPh sb="0" eb="2">
      <t>リッポウ</t>
    </rPh>
    <phoneticPr fontId="6"/>
  </si>
  <si>
    <t>＝</t>
    <phoneticPr fontId="6"/>
  </si>
  <si>
    <t>円</t>
    <rPh sb="0" eb="1">
      <t>エン</t>
    </rPh>
    <phoneticPr fontId="6"/>
  </si>
  <si>
    <t>11～20㎥</t>
  </si>
  <si>
    <t>21～100㎥</t>
  </si>
  <si>
    <t>101～
500㎥</t>
  </si>
  <si>
    <t>501～
6,000㎥</t>
  </si>
  <si>
    <t>6,001㎥以上</t>
  </si>
  <si>
    <t>小計</t>
    <rPh sb="0" eb="2">
      <t>ショウケイ</t>
    </rPh>
    <phoneticPr fontId="6"/>
  </si>
  <si>
    <t>合計</t>
    <rPh sb="0" eb="2">
      <t>ゴウケイ</t>
    </rPh>
    <phoneticPr fontId="6"/>
  </si>
  <si>
    <t>＋</t>
    <phoneticPr fontId="6"/>
  </si>
  <si>
    <t>２月当たり
使用水量</t>
    <rPh sb="1" eb="2">
      <t>ガツ</t>
    </rPh>
    <rPh sb="2" eb="3">
      <t>ア</t>
    </rPh>
    <rPh sb="6" eb="8">
      <t>シヨウ</t>
    </rPh>
    <rPh sb="8" eb="10">
      <t>スイリョウ</t>
    </rPh>
    <phoneticPr fontId="6"/>
  </si>
  <si>
    <t>基本料金
（税抜）</t>
    <rPh sb="0" eb="2">
      <t>キホン</t>
    </rPh>
    <rPh sb="2" eb="4">
      <t>リョウキン</t>
    </rPh>
    <rPh sb="6" eb="7">
      <t>ゼイ</t>
    </rPh>
    <rPh sb="7" eb="8">
      <t>ヌ</t>
    </rPh>
    <phoneticPr fontId="6"/>
  </si>
  <si>
    <t>従量料金
（税抜）</t>
    <rPh sb="0" eb="2">
      <t>ジュウリョウ</t>
    </rPh>
    <rPh sb="2" eb="4">
      <t>リョウキン</t>
    </rPh>
    <rPh sb="6" eb="7">
      <t>ゼイ</t>
    </rPh>
    <rPh sb="7" eb="8">
      <t>ヌ</t>
    </rPh>
    <phoneticPr fontId="6"/>
  </si>
  <si>
    <t>下水道使用料(円税抜)</t>
    <rPh sb="0" eb="3">
      <t>ゲスイドウ</t>
    </rPh>
    <rPh sb="3" eb="6">
      <t>シヨウリョウ</t>
    </rPh>
    <rPh sb="7" eb="8">
      <t>エン</t>
    </rPh>
    <rPh sb="8" eb="10">
      <t>ゼイヌ</t>
    </rPh>
    <phoneticPr fontId="6"/>
  </si>
  <si>
    <t>E</t>
    <phoneticPr fontId="6"/>
  </si>
  <si>
    <t>F</t>
    <phoneticPr fontId="6"/>
  </si>
  <si>
    <t>G</t>
    <phoneticPr fontId="6"/>
  </si>
  <si>
    <t>H</t>
    <phoneticPr fontId="6"/>
  </si>
  <si>
    <t>I</t>
    <phoneticPr fontId="6"/>
  </si>
  <si>
    <t>段階</t>
    <rPh sb="0" eb="2">
      <t>ダンカイ</t>
    </rPh>
    <phoneticPr fontId="6"/>
  </si>
  <si>
    <t>～</t>
  </si>
  <si>
    <t>基本使用料</t>
  </si>
  <si>
    <t>一般用ですので、</t>
    <phoneticPr fontId="6"/>
  </si>
  <si>
    <t>円です。</t>
  </si>
  <si>
    <t>従量使用料</t>
  </si>
  <si>
    <t>0～20㎥</t>
    <phoneticPr fontId="6"/>
  </si>
  <si>
    <t>立方メートル×</t>
  </si>
  <si>
    <t>円＝</t>
    <phoneticPr fontId="6"/>
  </si>
  <si>
    <t>円</t>
  </si>
  <si>
    <t>21～50㎥</t>
    <phoneticPr fontId="6"/>
  </si>
  <si>
    <t>21から50立方メートルまで　</t>
    <phoneticPr fontId="6"/>
  </si>
  <si>
    <t>51～100㎥</t>
    <phoneticPr fontId="6"/>
  </si>
  <si>
    <t>51から100立方メートルまで　</t>
    <phoneticPr fontId="6"/>
  </si>
  <si>
    <t>101～150㎥</t>
    <phoneticPr fontId="6"/>
  </si>
  <si>
    <t>101から150立方メートルまで　</t>
    <phoneticPr fontId="6"/>
  </si>
  <si>
    <t>151～200㎥</t>
    <phoneticPr fontId="6"/>
  </si>
  <si>
    <t>151から200立方メートルまで　</t>
    <phoneticPr fontId="6"/>
  </si>
  <si>
    <t>201㎥以上</t>
    <phoneticPr fontId="6"/>
  </si>
  <si>
    <t>小計　</t>
    <phoneticPr fontId="6"/>
  </si>
  <si>
    <t>合計　</t>
    <phoneticPr fontId="6"/>
  </si>
  <si>
    <t>円＋</t>
    <phoneticPr fontId="6"/>
  </si>
  <si>
    <t>ミリメートルで、使用水量</t>
    <phoneticPr fontId="3"/>
  </si>
  <si>
    <t>立方メートルの場合</t>
  </si>
  <si>
    <r>
      <t>第23条　料金は、</t>
    </r>
    <r>
      <rPr>
        <u/>
        <sz val="11"/>
        <color theme="10"/>
        <rFont val="Yu Gothic"/>
        <family val="3"/>
        <charset val="128"/>
        <scheme val="minor"/>
      </rPr>
      <t>別表第1に定める基本料金と従量料金との合計額に100分の110を乗じて得た金額とする。この場合において、1円未満の端数が生じたときは、その端数金額を切り捨てるものとする。</t>
    </r>
  </si>
  <si>
    <t>※2か月ごとの請求のため、使用月数は2か月で計算されます。</t>
    <phoneticPr fontId="6"/>
  </si>
  <si>
    <t>0から20立方メートルまで　</t>
    <phoneticPr fontId="6"/>
  </si>
  <si>
    <t>(料金)</t>
  </si>
  <si>
    <t>(料金の算定)</t>
  </si>
  <si>
    <t>第25条　料金は、定例日(料金算定の基準日として、あらかじめ管理者が定めた日をいう。)にメーターの点検を行い、その属する月の翌月分として算定する。ただし、やむを得ない理由があるときは、管理者は、定例日以外の日に点検を行うことができる。</t>
  </si>
  <si>
    <t>第27条　月の中途において水道の使用を開始し、又は使用をやめたときの料金は、次のとおりとする。</t>
  </si>
  <si>
    <t>(1)　使用水量が、基本水量の2分の1以下のときは、基本料金の2分の1</t>
  </si>
  <si>
    <t>(2)　使用水量が、基本水量の2分の1を超えるときは、1月として算定した金額</t>
  </si>
  <si>
    <t>(3)　口径30ミリ以上及び臨時用については、使用水量が1立方メートルに満たないときは、基本料金の2分の1</t>
  </si>
  <si>
    <t>(4)　口径30ミリ以上及び臨時用については、使用水量が1立方メートル以上のときは、1月として算定した金額</t>
  </si>
  <si>
    <t>2　月の中途においてその用途に変更があった場合は、その使用日数の多い料率を適用する。</t>
  </si>
  <si>
    <t>○三芳町水道事業給水条例</t>
  </si>
  <si>
    <t>○三芳町水道事業給水条例施行規程</t>
  </si>
  <si>
    <t>(料金の月計算)</t>
  </si>
  <si>
    <t>第37条　料金は、前月の点検定例日の翌日から当月の点検定例日までを1月として算定する。</t>
  </si>
  <si>
    <t>2　2月分を同時に検針する場合は、その1月分は各2分の1とし、1立方メートル未満の端数は通常使用量の多い月分とする。</t>
  </si>
  <si>
    <t>3　2月の中途で検針する場合は、日割計算による。</t>
  </si>
  <si>
    <t>三芳町水道事業給水条例施行規程</t>
  </si>
  <si>
    <t>※簡易計算のため、検針時期や減免制度適用等の条件により、
　実際の請求額と異なることがあります。</t>
    <rPh sb="1" eb="3">
      <t>カンイ</t>
    </rPh>
    <rPh sb="3" eb="5">
      <t>ケイサン</t>
    </rPh>
    <rPh sb="9" eb="11">
      <t>ケンシン</t>
    </rPh>
    <rPh sb="11" eb="13">
      <t>ジキ</t>
    </rPh>
    <rPh sb="14" eb="16">
      <t>ゲンメン</t>
    </rPh>
    <rPh sb="18" eb="20">
      <t>テキヨウ</t>
    </rPh>
    <rPh sb="22" eb="24">
      <t>ジョウケン</t>
    </rPh>
    <phoneticPr fontId="6"/>
  </si>
  <si>
    <t>　②「口径」を選択してください。</t>
    <rPh sb="3" eb="5">
      <t>コウケイ</t>
    </rPh>
    <rPh sb="7" eb="9">
      <t>センタク</t>
    </rPh>
    <phoneticPr fontId="4"/>
  </si>
  <si>
    <t>　③「使用水量」を入力してください。</t>
    <rPh sb="3" eb="5">
      <t>シヨウ</t>
    </rPh>
    <rPh sb="5" eb="7">
      <t>スイリョウ</t>
    </rPh>
    <phoneticPr fontId="4"/>
  </si>
  <si>
    <t>円</t>
    <rPh sb="0" eb="1">
      <t>エン</t>
    </rPh>
    <phoneticPr fontId="3"/>
  </si>
  <si>
    <t>合計料金(税抜き)</t>
    <rPh sb="0" eb="2">
      <t>ゴウケイ</t>
    </rPh>
    <rPh sb="2" eb="4">
      <t>リョウキン</t>
    </rPh>
    <rPh sb="5" eb="7">
      <t>ゼイヌキ</t>
    </rPh>
    <phoneticPr fontId="4"/>
  </si>
  <si>
    <t>小数点以下切り捨て端数処理</t>
    <rPh sb="0" eb="3">
      <t>ショウスウテン</t>
    </rPh>
    <rPh sb="3" eb="5">
      <t>イカ</t>
    </rPh>
    <rPh sb="5" eb="6">
      <t>キ</t>
    </rPh>
    <rPh sb="7" eb="8">
      <t>ス</t>
    </rPh>
    <rPh sb="9" eb="11">
      <t>ハスウ</t>
    </rPh>
    <rPh sb="11" eb="13">
      <t>ショリ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</si>
</sst>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#,##0_ "/>
    <numFmt numFmtId="178" formatCode="#,##0_);[Red]\(#,##0\)"/>
    <numFmt numFmtId="179" formatCode="&quot;R&quot;00"/>
    <numFmt numFmtId="180" formatCode="#,##0.0_ "/>
  </numFmts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8"/>
      <color theme="0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Yu Gothic"/>
      <family val="2"/>
      <charset val="128"/>
      <scheme val="minor"/>
    </font>
    <font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vertAlign val="superscript"/>
      <sz val="11"/>
      <color theme="1"/>
      <name val="Yu Gothic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Calibri"/>
      <family val="3"/>
      <charset val="161"/>
    </font>
    <font>
      <b/>
      <sz val="11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3"/>
      <charset val="128"/>
      <scheme val="minor"/>
    </font>
    <font>
      <sz val="7"/>
      <color rgb="FF000000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2" borderId="0" xfId="2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38" fontId="10" fillId="2" borderId="1" xfId="3" applyFont="1" applyFill="1" applyBorder="1" applyAlignment="1" applyProtection="1">
      <alignment horizontal="center" vertical="center"/>
      <protection locked="0"/>
    </xf>
    <xf numFmtId="38" fontId="10" fillId="0" borderId="0" xfId="3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13" fillId="3" borderId="1" xfId="2" applyFont="1" applyFill="1" applyBorder="1" applyAlignment="1">
      <alignment vertical="center"/>
    </xf>
    <xf numFmtId="0" fontId="14" fillId="3" borderId="1" xfId="2" applyFont="1" applyFill="1" applyBorder="1" applyAlignment="1">
      <alignment horizontal="center" vertical="center"/>
    </xf>
    <xf numFmtId="176" fontId="13" fillId="0" borderId="1" xfId="3" applyNumberFormat="1" applyFont="1" applyFill="1" applyBorder="1" applyAlignment="1">
      <alignment horizontal="right" vertical="center"/>
    </xf>
    <xf numFmtId="176" fontId="13" fillId="0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8" fontId="0" fillId="0" borderId="1" xfId="1" applyFont="1" applyBorder="1">
      <alignment vertical="center"/>
    </xf>
    <xf numFmtId="38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6" borderId="4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177" fontId="16" fillId="7" borderId="1" xfId="0" applyNumberFormat="1" applyFont="1" applyFill="1" applyBorder="1" applyAlignment="1">
      <alignment horizontal="right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shrinkToFit="1"/>
    </xf>
    <xf numFmtId="178" fontId="17" fillId="2" borderId="8" xfId="0" applyNumberFormat="1" applyFont="1" applyFill="1" applyBorder="1" applyAlignment="1">
      <alignment horizontal="center" vertical="center"/>
    </xf>
    <xf numFmtId="179" fontId="18" fillId="8" borderId="9" xfId="1" applyNumberFormat="1" applyFont="1" applyFill="1" applyBorder="1" applyAlignment="1">
      <alignment horizontal="center" vertical="center" shrinkToFit="1"/>
    </xf>
    <xf numFmtId="179" fontId="18" fillId="8" borderId="10" xfId="1" applyNumberFormat="1" applyFont="1" applyFill="1" applyBorder="1" applyAlignment="1">
      <alignment horizontal="center" vertical="center" shrinkToFit="1"/>
    </xf>
    <xf numFmtId="179" fontId="18" fillId="8" borderId="11" xfId="1" applyNumberFormat="1" applyFont="1" applyFill="1" applyBorder="1" applyAlignment="1">
      <alignment horizontal="center" vertical="center" shrinkToFit="1"/>
    </xf>
    <xf numFmtId="178" fontId="17" fillId="3" borderId="12" xfId="0" applyNumberFormat="1" applyFont="1" applyFill="1" applyBorder="1" applyAlignment="1">
      <alignment horizontal="center" vertical="center"/>
    </xf>
    <xf numFmtId="178" fontId="17" fillId="3" borderId="13" xfId="0" applyNumberFormat="1" applyFont="1" applyFill="1" applyBorder="1" applyAlignment="1">
      <alignment horizontal="center" vertical="center"/>
    </xf>
    <xf numFmtId="178" fontId="17" fillId="2" borderId="14" xfId="0" applyNumberFormat="1" applyFont="1" applyFill="1" applyBorder="1" applyAlignment="1">
      <alignment horizontal="center" vertical="center"/>
    </xf>
    <xf numFmtId="178" fontId="17" fillId="2" borderId="15" xfId="0" applyNumberFormat="1" applyFont="1" applyFill="1" applyBorder="1" applyAlignment="1">
      <alignment horizontal="center" vertical="center"/>
    </xf>
    <xf numFmtId="178" fontId="17" fillId="2" borderId="16" xfId="0" applyNumberFormat="1" applyFont="1" applyFill="1" applyBorder="1" applyAlignment="1">
      <alignment horizontal="center" vertical="center"/>
    </xf>
    <xf numFmtId="179" fontId="18" fillId="8" borderId="14" xfId="1" applyNumberFormat="1" applyFont="1" applyFill="1" applyBorder="1" applyAlignment="1">
      <alignment horizontal="center" vertical="center" shrinkToFit="1"/>
    </xf>
    <xf numFmtId="179" fontId="18" fillId="8" borderId="15" xfId="1" applyNumberFormat="1" applyFont="1" applyFill="1" applyBorder="1" applyAlignment="1">
      <alignment horizontal="center" vertical="center" shrinkToFit="1"/>
    </xf>
    <xf numFmtId="179" fontId="18" fillId="8" borderId="16" xfId="1" applyNumberFormat="1" applyFont="1" applyFill="1" applyBorder="1" applyAlignment="1">
      <alignment horizontal="center" vertical="center" shrinkToFit="1"/>
    </xf>
    <xf numFmtId="0" fontId="5" fillId="8" borderId="18" xfId="0" applyFont="1" applyFill="1" applyBorder="1" applyAlignment="1">
      <alignment horizontal="center" vertical="center"/>
    </xf>
    <xf numFmtId="0" fontId="18" fillId="8" borderId="19" xfId="1" applyNumberFormat="1" applyFont="1" applyFill="1" applyBorder="1" applyAlignment="1">
      <alignment horizontal="center" vertical="center" shrinkToFit="1"/>
    </xf>
    <xf numFmtId="0" fontId="18" fillId="8" borderId="2" xfId="1" applyNumberFormat="1" applyFont="1" applyFill="1" applyBorder="1" applyAlignment="1">
      <alignment horizontal="center" vertical="center" shrinkToFit="1"/>
    </xf>
    <xf numFmtId="0" fontId="18" fillId="8" borderId="20" xfId="1" applyNumberFormat="1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178" fontId="17" fillId="0" borderId="26" xfId="0" applyNumberFormat="1" applyFont="1" applyBorder="1" applyAlignment="1">
      <alignment horizontal="center" vertical="center"/>
    </xf>
    <xf numFmtId="178" fontId="17" fillId="5" borderId="27" xfId="0" applyNumberFormat="1" applyFont="1" applyFill="1" applyBorder="1" applyAlignment="1">
      <alignment horizontal="right" vertical="center"/>
    </xf>
    <xf numFmtId="178" fontId="17" fillId="0" borderId="27" xfId="0" applyNumberFormat="1" applyFont="1" applyBorder="1" applyAlignment="1">
      <alignment horizontal="right" vertical="center"/>
    </xf>
    <xf numFmtId="178" fontId="17" fillId="0" borderId="28" xfId="0" applyNumberFormat="1" applyFont="1" applyBorder="1" applyAlignment="1">
      <alignment horizontal="right" vertical="center"/>
    </xf>
    <xf numFmtId="178" fontId="17" fillId="0" borderId="25" xfId="0" applyNumberFormat="1" applyFont="1" applyBorder="1" applyAlignment="1">
      <alignment horizontal="right" vertical="center"/>
    </xf>
    <xf numFmtId="178" fontId="17" fillId="0" borderId="2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20" fillId="9" borderId="1" xfId="0" applyFont="1" applyFill="1" applyBorder="1" applyAlignment="1">
      <alignment vertical="center"/>
    </xf>
    <xf numFmtId="177" fontId="16" fillId="0" borderId="1" xfId="0" applyNumberFormat="1" applyFont="1" applyBorder="1" applyAlignment="1">
      <alignment vertical="center"/>
    </xf>
    <xf numFmtId="180" fontId="16" fillId="0" borderId="1" xfId="0" applyNumberFormat="1" applyFont="1" applyBorder="1" applyAlignment="1">
      <alignment vertical="center"/>
    </xf>
    <xf numFmtId="178" fontId="17" fillId="0" borderId="36" xfId="0" applyNumberFormat="1" applyFont="1" applyBorder="1" applyAlignment="1">
      <alignment horizontal="center" vertical="center"/>
    </xf>
    <xf numFmtId="178" fontId="17" fillId="5" borderId="37" xfId="0" applyNumberFormat="1" applyFont="1" applyFill="1" applyBorder="1" applyAlignment="1">
      <alignment horizontal="right" vertical="center"/>
    </xf>
    <xf numFmtId="178" fontId="17" fillId="0" borderId="37" xfId="0" applyNumberFormat="1" applyFont="1" applyBorder="1" applyAlignment="1">
      <alignment horizontal="right" vertical="center"/>
    </xf>
    <xf numFmtId="178" fontId="17" fillId="0" borderId="38" xfId="0" applyNumberFormat="1" applyFont="1" applyBorder="1" applyAlignment="1">
      <alignment horizontal="right" vertical="center"/>
    </xf>
    <xf numFmtId="178" fontId="17" fillId="0" borderId="35" xfId="0" applyNumberFormat="1" applyFont="1" applyBorder="1" applyAlignment="1">
      <alignment horizontal="right" vertical="center"/>
    </xf>
    <xf numFmtId="0" fontId="5" fillId="0" borderId="39" xfId="0" applyFon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0" xfId="0" applyNumberFormat="1" applyAlignment="1">
      <alignment horizontal="left" vertical="center"/>
    </xf>
    <xf numFmtId="178" fontId="17" fillId="0" borderId="40" xfId="0" applyNumberFormat="1" applyFont="1" applyBorder="1" applyAlignment="1">
      <alignment horizontal="right" vertical="center"/>
    </xf>
    <xf numFmtId="178" fontId="17" fillId="0" borderId="41" xfId="0" applyNumberFormat="1" applyFont="1" applyBorder="1" applyAlignment="1">
      <alignment horizontal="center" vertical="center"/>
    </xf>
    <xf numFmtId="178" fontId="17" fillId="5" borderId="42" xfId="0" applyNumberFormat="1" applyFont="1" applyFill="1" applyBorder="1" applyAlignment="1">
      <alignment horizontal="right" vertical="center"/>
    </xf>
    <xf numFmtId="178" fontId="17" fillId="0" borderId="43" xfId="0" applyNumberFormat="1" applyFont="1" applyBorder="1" applyAlignment="1">
      <alignment horizontal="right" vertical="center"/>
    </xf>
    <xf numFmtId="178" fontId="17" fillId="0" borderId="42" xfId="0" applyNumberFormat="1" applyFont="1" applyBorder="1" applyAlignment="1">
      <alignment horizontal="right" vertical="center"/>
    </xf>
    <xf numFmtId="178" fontId="17" fillId="0" borderId="44" xfId="0" applyNumberFormat="1" applyFont="1" applyBorder="1" applyAlignment="1">
      <alignment horizontal="right" vertical="center"/>
    </xf>
    <xf numFmtId="178" fontId="17" fillId="0" borderId="45" xfId="0" applyNumberFormat="1" applyFont="1" applyBorder="1" applyAlignment="1">
      <alignment horizontal="right" vertical="center"/>
    </xf>
    <xf numFmtId="0" fontId="5" fillId="0" borderId="46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180" fontId="0" fillId="0" borderId="0" xfId="0" applyNumberFormat="1" applyAlignment="1">
      <alignment vertical="center"/>
    </xf>
    <xf numFmtId="177" fontId="5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/>
    </xf>
    <xf numFmtId="0" fontId="5" fillId="0" borderId="0" xfId="0" applyFont="1"/>
    <xf numFmtId="178" fontId="17" fillId="2" borderId="9" xfId="0" applyNumberFormat="1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178" fontId="17" fillId="0" borderId="52" xfId="0" applyNumberFormat="1" applyFont="1" applyBorder="1" applyAlignment="1">
      <alignment horizontal="center" vertical="center"/>
    </xf>
    <xf numFmtId="178" fontId="17" fillId="0" borderId="38" xfId="0" applyNumberFormat="1" applyFont="1" applyBorder="1" applyAlignment="1">
      <alignment horizontal="center" vertical="center"/>
    </xf>
    <xf numFmtId="178" fontId="17" fillId="0" borderId="53" xfId="0" applyNumberFormat="1" applyFont="1" applyBorder="1" applyAlignment="1">
      <alignment horizontal="right" vertical="center"/>
    </xf>
    <xf numFmtId="180" fontId="20" fillId="9" borderId="1" xfId="0" applyNumberFormat="1" applyFont="1" applyFill="1" applyBorder="1" applyAlignment="1">
      <alignment vertical="center"/>
    </xf>
    <xf numFmtId="178" fontId="17" fillId="0" borderId="54" xfId="0" applyNumberFormat="1" applyFont="1" applyBorder="1" applyAlignment="1">
      <alignment horizontal="center" vertical="center"/>
    </xf>
    <xf numFmtId="178" fontId="17" fillId="0" borderId="53" xfId="0" applyNumberFormat="1" applyFont="1" applyBorder="1" applyAlignment="1">
      <alignment horizontal="right" vertical="center" shrinkToFit="1"/>
    </xf>
    <xf numFmtId="178" fontId="17" fillId="0" borderId="55" xfId="0" applyNumberFormat="1" applyFont="1" applyBorder="1" applyAlignment="1">
      <alignment horizontal="center" vertical="center"/>
    </xf>
    <xf numFmtId="178" fontId="17" fillId="0" borderId="56" xfId="0" applyNumberFormat="1" applyFont="1" applyBorder="1" applyAlignment="1">
      <alignment horizontal="right" vertical="center"/>
    </xf>
    <xf numFmtId="178" fontId="17" fillId="0" borderId="56" xfId="0" applyNumberFormat="1" applyFont="1" applyBorder="1" applyAlignment="1">
      <alignment horizontal="center" vertical="center"/>
    </xf>
    <xf numFmtId="178" fontId="17" fillId="0" borderId="57" xfId="0" applyNumberFormat="1" applyFont="1" applyBorder="1" applyAlignment="1">
      <alignment horizontal="right" vertical="center" shrinkToFit="1"/>
    </xf>
    <xf numFmtId="178" fontId="0" fillId="0" borderId="0" xfId="0" applyNumberFormat="1" applyAlignment="1">
      <alignment vertical="center" wrapText="1"/>
    </xf>
    <xf numFmtId="38" fontId="0" fillId="0" borderId="0" xfId="0" applyNumberFormat="1"/>
    <xf numFmtId="0" fontId="22" fillId="0" borderId="0" xfId="4"/>
    <xf numFmtId="0" fontId="0" fillId="0" borderId="0" xfId="0" applyAlignment="1">
      <alignment vertical="center" shrinkToFit="1"/>
    </xf>
    <xf numFmtId="178" fontId="0" fillId="0" borderId="0" xfId="0" applyNumberFormat="1" applyAlignment="1">
      <alignment horizontal="left" vertical="center" shrinkToFit="1"/>
    </xf>
    <xf numFmtId="0" fontId="24" fillId="0" borderId="0" xfId="0" applyFont="1" applyAlignment="1">
      <alignment horizontal="left" vertical="center" wrapText="1" indent="1"/>
    </xf>
    <xf numFmtId="0" fontId="24" fillId="0" borderId="0" xfId="0" applyFont="1"/>
    <xf numFmtId="0" fontId="22" fillId="0" borderId="0" xfId="4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2"/>
    </xf>
    <xf numFmtId="38" fontId="5" fillId="11" borderId="1" xfId="0" applyNumberFormat="1" applyFont="1" applyFill="1" applyBorder="1" applyAlignment="1">
      <alignment vertical="center"/>
    </xf>
    <xf numFmtId="38" fontId="5" fillId="11" borderId="1" xfId="1" applyFont="1" applyFill="1" applyBorder="1">
      <alignment vertical="center"/>
    </xf>
    <xf numFmtId="0" fontId="13" fillId="3" borderId="1" xfId="2" applyFont="1" applyFill="1" applyBorder="1" applyAlignment="1">
      <alignment horizontal="center" vertical="center"/>
    </xf>
    <xf numFmtId="0" fontId="2" fillId="10" borderId="0" xfId="2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8" fillId="3" borderId="7" xfId="1" applyNumberFormat="1" applyFont="1" applyFill="1" applyBorder="1" applyAlignment="1">
      <alignment horizontal="center" vertical="center" shrinkToFit="1"/>
    </xf>
    <xf numFmtId="0" fontId="18" fillId="3" borderId="17" xfId="1" applyNumberFormat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178" fontId="17" fillId="8" borderId="7" xfId="0" applyNumberFormat="1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178" fontId="17" fillId="8" borderId="48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5" fillId="8" borderId="5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桁区切り 2" xfId="3" xr:uid="{887341C2-3E5C-4885-9B19-FA935D9D7918}"/>
    <cellStyle name="標準" xfId="0" builtinId="0"/>
    <cellStyle name="標準 2" xfId="2" xr:uid="{626F1EAD-9BF4-4BFF-B710-1CC489BCBF5E}"/>
  </cellStyles>
  <dxfs count="0"/>
  <tableStyles count="0" defaultTableStyle="TableStyleMedium2" defaultPivotStyle="PivotStyleLight16"/>
  <colors>
    <mruColors>
      <color rgb="FFCCE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165098</xdr:colOff>
      <xdr:row>3</xdr:row>
      <xdr:rowOff>132789</xdr:rowOff>
    </xdr:from>
    <xdr:to>
      <xdr:col>8</xdr:col>
      <xdr:colOff>1202765</xdr:colOff>
      <xdr:row>33</xdr:row>
      <xdr:rowOff>112619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CB9E082-EB21-42DB-B78A-7F6573025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6" t="-3065" r="-1252" b="-5169"/>
        <a:stretch>
          <a:fillRect/>
        </a:stretch>
      </xdr:blipFill>
      <xdr:spPr bwMode="auto">
        <a:xfrm>
          <a:off x="4658657" y="805142"/>
          <a:ext cx="3088343" cy="690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573181</xdr:colOff>
      <xdr:row>8</xdr:row>
      <xdr:rowOff>173318</xdr:rowOff>
    </xdr:from>
    <xdr:to>
      <xdr:col>8</xdr:col>
      <xdr:colOff>913280</xdr:colOff>
      <xdr:row>9</xdr:row>
      <xdr:rowOff>182842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63F3715-2A02-4F4D-90E8-D98CC58A8974}"/>
            </a:ext>
          </a:extLst>
        </xdr:cNvPr>
        <xdr:cNvSpPr/>
      </xdr:nvSpPr>
      <xdr:spPr>
        <a:xfrm>
          <a:off x="6228416" y="2145553"/>
          <a:ext cx="1236570" cy="27099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298264</xdr:colOff>
      <xdr:row>16</xdr:row>
      <xdr:rowOff>193387</xdr:rowOff>
    </xdr:from>
    <xdr:to>
      <xdr:col>8</xdr:col>
      <xdr:colOff>912148</xdr:colOff>
      <xdr:row>18</xdr:row>
      <xdr:rowOff>62093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2CE0FED-9174-4BDC-88DD-D6E1ABB30E37}"/>
            </a:ext>
          </a:extLst>
        </xdr:cNvPr>
        <xdr:cNvSpPr/>
      </xdr:nvSpPr>
      <xdr:spPr>
        <a:xfrm>
          <a:off x="4775014" y="4003387"/>
          <a:ext cx="2658096" cy="3229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235884</xdr:colOff>
      <xdr:row>8</xdr:row>
      <xdr:rowOff>201706</xdr:rowOff>
    </xdr:from>
    <xdr:to>
      <xdr:col>7</xdr:col>
      <xdr:colOff>575236</xdr:colOff>
      <xdr:row>11</xdr:row>
      <xdr:rowOff>143997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31F1FA1E-DCC2-4D7D-847B-4AB55746B419}"/>
            </a:ext>
          </a:extLst>
        </xdr:cNvPr>
        <xdr:cNvSpPr/>
      </xdr:nvSpPr>
      <xdr:spPr>
        <a:xfrm>
          <a:off x="4262531" y="2173941"/>
          <a:ext cx="1967940" cy="696821"/>
        </a:xfrm>
        <a:custGeom>
          <a:avLst/>
          <a:gdLst>
            <a:gd name="csX0" fmla="*/ 1680882 w 1680882"/>
            <a:gd name="csY0" fmla="*/ 0 h 347383"/>
            <a:gd name="csX1" fmla="*/ 381000 w 1680882"/>
            <a:gd name="csY1" fmla="*/ 0 h 347383"/>
            <a:gd name="csX2" fmla="*/ 381000 w 1680882"/>
            <a:gd name="csY2" fmla="*/ 347383 h 347383"/>
            <a:gd name="csX3" fmla="*/ 0 w 1680882"/>
            <a:gd name="csY3" fmla="*/ 347383 h 34738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</a:cxnLst>
          <a:rect l="l" t="t" r="r" b="b"/>
          <a:pathLst>
            <a:path w="1680882" h="347383">
              <a:moveTo>
                <a:pt x="1680882" y="0"/>
              </a:moveTo>
              <a:lnTo>
                <a:pt x="381000" y="0"/>
              </a:lnTo>
              <a:lnTo>
                <a:pt x="381000" y="347383"/>
              </a:lnTo>
              <a:lnTo>
                <a:pt x="0" y="347383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268939</xdr:colOff>
      <xdr:row>13</xdr:row>
      <xdr:rowOff>104028</xdr:rowOff>
    </xdr:from>
    <xdr:to>
      <xdr:col>8</xdr:col>
      <xdr:colOff>85302</xdr:colOff>
      <xdr:row>16</xdr:row>
      <xdr:rowOff>178624</xdr:rowOff>
    </xdr:to>
    <xdr:sp macro="" textlink="">
      <xdr:nvSpPr>
        <xdr:cNvPr id="6" name="フリーフォーム: 図形 5">
          <a:extLst>
            <a:ext uri="{FF2B5EF4-FFF2-40B4-BE49-F238E27FC236}">
              <a16:creationId xmlns:a16="http://schemas.microsoft.com/office/drawing/2014/main" id="{3C945DDC-0AFF-46E4-970F-A9A32EB9992C}"/>
            </a:ext>
          </a:extLst>
        </xdr:cNvPr>
        <xdr:cNvSpPr/>
      </xdr:nvSpPr>
      <xdr:spPr>
        <a:xfrm flipV="1">
          <a:off x="4269439" y="3232624"/>
          <a:ext cx="2336825" cy="756000"/>
        </a:xfrm>
        <a:custGeom>
          <a:avLst/>
          <a:gdLst>
            <a:gd name="csX0" fmla="*/ 4415118 w 4415118"/>
            <a:gd name="csY0" fmla="*/ 0 h 459441"/>
            <a:gd name="csX1" fmla="*/ 4415118 w 4415118"/>
            <a:gd name="csY1" fmla="*/ 459441 h 459441"/>
            <a:gd name="csX2" fmla="*/ 0 w 4415118"/>
            <a:gd name="csY2" fmla="*/ 459441 h 459441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</a:cxnLst>
          <a:rect l="l" t="t" r="r" b="b"/>
          <a:pathLst>
            <a:path w="4415118" h="459441">
              <a:moveTo>
                <a:pt x="4415118" y="0"/>
              </a:moveTo>
              <a:lnTo>
                <a:pt x="4415118" y="459441"/>
              </a:lnTo>
              <a:lnTo>
                <a:pt x="0" y="459441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379507</xdr:colOff>
      <xdr:row>6</xdr:row>
      <xdr:rowOff>85725</xdr:rowOff>
    </xdr:from>
    <xdr:to>
      <xdr:col>8</xdr:col>
      <xdr:colOff>81057</xdr:colOff>
      <xdr:row>8</xdr:row>
      <xdr:rowOff>168275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D143A73-4251-4652-9021-8C9C7D88E5EB}"/>
            </a:ext>
          </a:extLst>
        </xdr:cNvPr>
        <xdr:cNvSpPr txBox="1"/>
      </xdr:nvSpPr>
      <xdr:spPr>
        <a:xfrm>
          <a:off x="4884272" y="1535019"/>
          <a:ext cx="1748491" cy="605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大字藤久保</a:t>
          </a:r>
          <a:r>
            <a:rPr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1100</a:t>
          </a:r>
          <a:r>
            <a:rPr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番地１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444500</xdr:colOff>
      <xdr:row>7</xdr:row>
      <xdr:rowOff>90208</xdr:rowOff>
    </xdr:from>
    <xdr:to>
      <xdr:col>8</xdr:col>
      <xdr:colOff>149225</xdr:colOff>
      <xdr:row>9</xdr:row>
      <xdr:rowOff>17183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6A745D-077A-4193-9C0B-E48D06C7E83D}"/>
            </a:ext>
          </a:extLst>
        </xdr:cNvPr>
        <xdr:cNvSpPr txBox="1"/>
      </xdr:nvSpPr>
      <xdr:spPr>
        <a:xfrm>
          <a:off x="4949265" y="1800973"/>
          <a:ext cx="1751666" cy="449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三芳　太郎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245222</xdr:colOff>
      <xdr:row>8</xdr:row>
      <xdr:rowOff>195729</xdr:rowOff>
    </xdr:from>
    <xdr:to>
      <xdr:col>8</xdr:col>
      <xdr:colOff>759572</xdr:colOff>
      <xdr:row>10</xdr:row>
      <xdr:rowOff>77133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8D07C1-BD13-415A-93BD-31C6822F894E}"/>
            </a:ext>
          </a:extLst>
        </xdr:cNvPr>
        <xdr:cNvSpPr txBox="1"/>
      </xdr:nvSpPr>
      <xdr:spPr>
        <a:xfrm>
          <a:off x="6796928" y="2167964"/>
          <a:ext cx="514350" cy="40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altLang="ja-JP" sz="105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20mm</a:t>
          </a:r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156133</xdr:colOff>
      <xdr:row>9</xdr:row>
      <xdr:rowOff>195728</xdr:rowOff>
    </xdr:from>
    <xdr:to>
      <xdr:col>8</xdr:col>
      <xdr:colOff>1020854</xdr:colOff>
      <xdr:row>11</xdr:row>
      <xdr:rowOff>105521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8CFA0E-6D42-429B-8712-56D05D849538}"/>
            </a:ext>
          </a:extLst>
        </xdr:cNvPr>
        <xdr:cNvSpPr txBox="1"/>
      </xdr:nvSpPr>
      <xdr:spPr>
        <a:xfrm>
          <a:off x="6707839" y="2429434"/>
          <a:ext cx="864721" cy="402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ja-JP" altLang="en-US" sz="105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一般用</a:t>
          </a:r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1078753</xdr:colOff>
      <xdr:row>8</xdr:row>
      <xdr:rowOff>201893</xdr:rowOff>
    </xdr:from>
    <xdr:to>
      <xdr:col>7</xdr:col>
      <xdr:colOff>793003</xdr:colOff>
      <xdr:row>10</xdr:row>
      <xdr:rowOff>83111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56544C-4361-455E-BB75-76F80082C52A}"/>
            </a:ext>
          </a:extLst>
        </xdr:cNvPr>
        <xdr:cNvSpPr txBox="1"/>
      </xdr:nvSpPr>
      <xdr:spPr>
        <a:xfrm>
          <a:off x="5583518" y="2174128"/>
          <a:ext cx="864720" cy="404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altLang="ja-JP" sz="105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00XXXXX</a:t>
          </a:r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237192</xdr:colOff>
      <xdr:row>17</xdr:row>
      <xdr:rowOff>33497</xdr:rowOff>
    </xdr:from>
    <xdr:to>
      <xdr:col>8</xdr:col>
      <xdr:colOff>752663</xdr:colOff>
      <xdr:row>18</xdr:row>
      <xdr:rowOff>194233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6715AD-3F2E-4421-9113-F59CFB3B92C6}"/>
            </a:ext>
          </a:extLst>
        </xdr:cNvPr>
        <xdr:cNvSpPr txBox="1"/>
      </xdr:nvSpPr>
      <xdr:spPr>
        <a:xfrm>
          <a:off x="6788898" y="4149791"/>
          <a:ext cx="515471" cy="392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40</a:t>
          </a:r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373529</xdr:colOff>
      <xdr:row>3</xdr:row>
      <xdr:rowOff>52295</xdr:rowOff>
    </xdr:from>
    <xdr:to>
      <xdr:col>8</xdr:col>
      <xdr:colOff>575235</xdr:colOff>
      <xdr:row>5</xdr:row>
      <xdr:rowOff>171824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3A59A3D-804A-4683-962E-B2C848A91C7A}"/>
            </a:ext>
          </a:extLst>
        </xdr:cNvPr>
        <xdr:cNvSpPr txBox="1"/>
      </xdr:nvSpPr>
      <xdr:spPr>
        <a:xfrm>
          <a:off x="4869329" y="738095"/>
          <a:ext cx="2246406" cy="576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使用水量・料金等のお知らせ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（見本例）</a:t>
          </a:r>
        </a:p>
      </xdr:txBody>
    </xdr:sp>
    <xdr:clientData/>
  </xdr:twoCellAnchor>
  <xdr:twoCellAnchor>
    <xdr:from>
      <xdr:col>8</xdr:col>
      <xdr:colOff>1113118</xdr:colOff>
      <xdr:row>7</xdr:row>
      <xdr:rowOff>261469</xdr:rowOff>
    </xdr:from>
    <xdr:to>
      <xdr:col>8</xdr:col>
      <xdr:colOff>2151529</xdr:colOff>
      <xdr:row>9</xdr:row>
      <xdr:rowOff>126999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16B73BB6-63C4-41BD-A268-4581FFA67892}"/>
            </a:ext>
          </a:extLst>
        </xdr:cNvPr>
        <xdr:cNvSpPr/>
      </xdr:nvSpPr>
      <xdr:spPr>
        <a:xfrm>
          <a:off x="7664824" y="1972234"/>
          <a:ext cx="1038411" cy="388471"/>
        </a:xfrm>
        <a:prstGeom prst="wedgeRoundRectCallout">
          <a:avLst>
            <a:gd name="adj1" fmla="val -68100"/>
            <a:gd name="adj2" fmla="val 4327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②口径</a:t>
          </a:r>
        </a:p>
      </xdr:txBody>
    </xdr:sp>
    <xdr:clientData/>
  </xdr:twoCellAnchor>
  <xdr:twoCellAnchor>
    <xdr:from>
      <xdr:col>8</xdr:col>
      <xdr:colOff>1157941</xdr:colOff>
      <xdr:row>16</xdr:row>
      <xdr:rowOff>74706</xdr:rowOff>
    </xdr:from>
    <xdr:to>
      <xdr:col>8</xdr:col>
      <xdr:colOff>2181411</xdr:colOff>
      <xdr:row>17</xdr:row>
      <xdr:rowOff>216648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C0DB1EDE-F1D3-4C03-A0FA-9B5DD91F9E21}"/>
            </a:ext>
          </a:extLst>
        </xdr:cNvPr>
        <xdr:cNvSpPr/>
      </xdr:nvSpPr>
      <xdr:spPr>
        <a:xfrm>
          <a:off x="7709647" y="3959412"/>
          <a:ext cx="1023470" cy="373530"/>
        </a:xfrm>
        <a:prstGeom prst="wedgeRoundRectCallout">
          <a:avLst>
            <a:gd name="adj1" fmla="val -70327"/>
            <a:gd name="adj2" fmla="val 4711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③使用水量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3765546" cy="7325747"/>
    <xdr:pic>
      <xdr:nvPicPr>
        <xdr:cNvPr id="2" name="図 1">
          <a:extLst>
            <a:ext uri="{FF2B5EF4-FFF2-40B4-BE49-F238E27FC236}">
              <a16:creationId xmlns:a16="http://schemas.microsoft.com/office/drawing/2014/main" id="{76B01FDC-0D5B-4EA3-8A98-93ACFA3F5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0" y="7105650"/>
          <a:ext cx="13765546" cy="73257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.g-reiki.net/saitama-miyoshi/reiki_honbun/e348RG00000562.html" TargetMode="External"/><Relationship Id="rId1" Type="http://schemas.openxmlformats.org/officeDocument/2006/relationships/hyperlink" Target="https://www1.g-reiki.net/saitama-miyoshi/reiki_honbun/e348RG00000561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3"/>
  <sheetViews>
    <sheetView showGridLines="0" tabSelected="1" topLeftCell="A6" zoomScaleNormal="100" workbookViewId="0">
      <selection activeCell="E15" sqref="E15"/>
    </sheetView>
  </sheetViews>
  <sheetFormatPr defaultRowHeight="18"/>
  <cols>
    <col min="1" max="1" width="4.69921875" style="1" customWidth="1"/>
    <col min="2" max="3" width="10.19921875" style="1" customWidth="1"/>
    <col min="4" max="4" width="12.69921875" style="1" customWidth="1"/>
    <col min="5" max="5" width="15.09765625" style="1" customWidth="1"/>
    <col min="6" max="6" width="6.19921875" style="1" customWidth="1"/>
    <col min="7" max="7" width="15.09765625" style="1" customWidth="1"/>
    <col min="8" max="8" width="11.69921875" style="1" customWidth="1"/>
    <col min="9" max="9" width="29.3984375" style="1" customWidth="1"/>
    <col min="10" max="11" width="8.69921875" style="1"/>
  </cols>
  <sheetData>
    <row r="2" spans="1:11">
      <c r="A2" s="116" t="s">
        <v>0</v>
      </c>
      <c r="B2" s="116"/>
      <c r="C2" s="116"/>
      <c r="D2" s="116"/>
      <c r="E2" s="116"/>
      <c r="F2" s="116"/>
      <c r="G2" s="116"/>
      <c r="H2" s="116"/>
      <c r="I2" s="116"/>
    </row>
    <row r="3" spans="1:11">
      <c r="A3" s="116"/>
      <c r="B3" s="116"/>
      <c r="C3" s="116"/>
      <c r="D3" s="116"/>
      <c r="E3" s="116"/>
      <c r="F3" s="116"/>
      <c r="G3" s="116"/>
      <c r="H3" s="116"/>
      <c r="I3" s="116"/>
    </row>
    <row r="4" spans="1:11" ht="21">
      <c r="A4" s="2"/>
      <c r="B4" s="2"/>
      <c r="C4" s="2"/>
      <c r="D4" s="2"/>
      <c r="E4" s="2"/>
      <c r="F4" s="2"/>
      <c r="G4" s="2"/>
      <c r="H4" s="2"/>
      <c r="I4" s="2"/>
    </row>
    <row r="5" spans="1:11">
      <c r="A5" s="3" t="s">
        <v>1</v>
      </c>
      <c r="B5" s="3"/>
      <c r="C5" s="3"/>
      <c r="D5" s="3"/>
      <c r="E5" s="3"/>
      <c r="F5" s="3"/>
      <c r="G5" s="3"/>
      <c r="H5" s="3"/>
      <c r="I5" s="3"/>
    </row>
    <row r="6" spans="1:11" ht="21">
      <c r="A6" s="3" t="s">
        <v>2</v>
      </c>
      <c r="B6" s="3"/>
      <c r="C6" s="4"/>
      <c r="D6" s="5"/>
      <c r="E6" s="5"/>
      <c r="F6" s="5"/>
      <c r="G6" s="5"/>
      <c r="H6" s="5"/>
      <c r="I6" s="5"/>
    </row>
    <row r="7" spans="1:11" ht="21">
      <c r="A7" s="3"/>
      <c r="B7" s="3"/>
      <c r="C7" s="4"/>
      <c r="D7" s="5"/>
      <c r="E7" s="5"/>
      <c r="F7" s="5"/>
      <c r="G7" s="5"/>
      <c r="H7" s="5"/>
      <c r="I7" s="5"/>
    </row>
    <row r="8" spans="1:11" ht="21">
      <c r="A8" s="117" t="s">
        <v>3</v>
      </c>
      <c r="B8" s="117"/>
      <c r="C8" s="117"/>
      <c r="D8" s="117"/>
      <c r="E8" s="117"/>
      <c r="F8" s="117"/>
      <c r="G8" s="5"/>
      <c r="H8" s="5"/>
      <c r="I8" s="5"/>
      <c r="J8" s="6"/>
      <c r="K8" s="6"/>
    </row>
    <row r="9" spans="1:11" ht="21">
      <c r="A9" s="7" t="s">
        <v>4</v>
      </c>
      <c r="B9" s="7"/>
      <c r="C9" s="8"/>
      <c r="D9" s="8"/>
      <c r="E9" s="8"/>
      <c r="F9" s="8"/>
      <c r="G9" s="5"/>
      <c r="H9" s="5"/>
      <c r="I9" s="5"/>
    </row>
    <row r="10" spans="1:11" ht="21">
      <c r="B10" s="9" t="s">
        <v>5</v>
      </c>
      <c r="C10" s="10" t="s">
        <v>6</v>
      </c>
      <c r="E10" s="8"/>
      <c r="F10" s="8"/>
      <c r="G10" s="5"/>
      <c r="H10" s="5"/>
      <c r="I10" s="5"/>
    </row>
    <row r="11" spans="1:11">
      <c r="A11" s="7"/>
      <c r="B11" s="7"/>
      <c r="C11" s="3"/>
      <c r="D11" s="3"/>
      <c r="E11" s="3"/>
      <c r="F11" s="3"/>
      <c r="G11" s="8"/>
      <c r="H11" s="8"/>
      <c r="I11" s="8"/>
    </row>
    <row r="12" spans="1:11">
      <c r="A12" s="7" t="s">
        <v>125</v>
      </c>
      <c r="B12" s="7"/>
      <c r="C12" s="8"/>
      <c r="D12" s="8"/>
      <c r="E12" s="11">
        <v>20</v>
      </c>
      <c r="F12" s="8" t="s">
        <v>7</v>
      </c>
      <c r="I12" s="8"/>
    </row>
    <row r="13" spans="1:11">
      <c r="A13" s="3"/>
      <c r="B13" s="3"/>
      <c r="C13" s="8"/>
      <c r="D13" s="8"/>
      <c r="E13" s="3"/>
      <c r="F13" s="3"/>
      <c r="I13" s="8"/>
    </row>
    <row r="14" spans="1:11">
      <c r="A14" s="7" t="s">
        <v>126</v>
      </c>
      <c r="B14" s="7"/>
      <c r="C14" s="8"/>
      <c r="D14" s="8"/>
      <c r="E14" s="12">
        <v>40</v>
      </c>
      <c r="F14" s="8" t="s">
        <v>8</v>
      </c>
      <c r="I14" s="8"/>
    </row>
    <row r="15" spans="1:11">
      <c r="A15" s="7"/>
      <c r="B15" s="7"/>
      <c r="C15" s="8"/>
      <c r="D15" s="8"/>
      <c r="E15" s="13"/>
      <c r="F15" s="8"/>
      <c r="G15" s="8"/>
      <c r="H15" s="8"/>
      <c r="I15" s="8"/>
    </row>
    <row r="16" spans="1:11">
      <c r="A16" s="118" t="s">
        <v>9</v>
      </c>
      <c r="B16" s="118"/>
      <c r="C16" s="118"/>
      <c r="D16" s="118"/>
      <c r="E16" s="118"/>
      <c r="F16" s="118"/>
      <c r="G16" s="8"/>
      <c r="H16" s="8"/>
      <c r="I16" s="8"/>
    </row>
    <row r="18" spans="2:9">
      <c r="C18" s="14" t="s">
        <v>10</v>
      </c>
      <c r="D18" s="6"/>
      <c r="E18" s="113">
        <f>IFERROR(E20+E22,"")</f>
        <v>9768</v>
      </c>
      <c r="F18" s="3" t="s">
        <v>127</v>
      </c>
      <c r="G18" s="6"/>
      <c r="H18" s="6"/>
      <c r="I18" s="6"/>
    </row>
    <row r="19" spans="2:9">
      <c r="D19" s="6"/>
    </row>
    <row r="20" spans="2:9">
      <c r="C20" s="6" t="s">
        <v>11</v>
      </c>
      <c r="D20" s="6"/>
      <c r="E20" s="114">
        <f>IFERROR(ROUNDDOWN(D33*1.1,0),"")</f>
        <v>6138</v>
      </c>
      <c r="F20" s="3" t="s">
        <v>127</v>
      </c>
    </row>
    <row r="21" spans="2:9">
      <c r="C21" s="6"/>
      <c r="D21" s="6"/>
    </row>
    <row r="22" spans="2:9">
      <c r="C22" s="6" t="s">
        <v>12</v>
      </c>
      <c r="D22" s="6"/>
      <c r="E22" s="114">
        <f>IFERROR(ROUNDDOWN(E33*1.1,0),"")</f>
        <v>3630</v>
      </c>
      <c r="F22" s="3" t="s">
        <v>127</v>
      </c>
    </row>
    <row r="23" spans="2:9">
      <c r="B23" s="6"/>
      <c r="C23" s="6"/>
      <c r="D23" s="6"/>
      <c r="E23" s="6"/>
      <c r="F23" s="6"/>
    </row>
    <row r="24" spans="2:9">
      <c r="B24" s="1" t="s">
        <v>13</v>
      </c>
      <c r="C24" s="6"/>
      <c r="D24" s="6"/>
      <c r="E24" s="6"/>
      <c r="F24" s="6"/>
    </row>
    <row r="25" spans="2:9">
      <c r="B25" s="1" t="s">
        <v>106</v>
      </c>
      <c r="C25" s="6"/>
      <c r="D25" s="6"/>
      <c r="E25" s="6"/>
      <c r="F25" s="6"/>
      <c r="G25" s="6"/>
      <c r="H25" s="6"/>
      <c r="I25" s="6"/>
    </row>
    <row r="26" spans="2:9">
      <c r="B26" s="119" t="s">
        <v>124</v>
      </c>
      <c r="C26" s="119"/>
      <c r="D26" s="119"/>
      <c r="E26" s="119"/>
      <c r="F26" s="119"/>
      <c r="G26" s="6"/>
      <c r="H26" s="6"/>
      <c r="I26" s="6"/>
    </row>
    <row r="27" spans="2:9">
      <c r="B27" s="119"/>
      <c r="C27" s="119"/>
      <c r="D27" s="119"/>
      <c r="E27" s="119"/>
      <c r="F27" s="119"/>
      <c r="G27" s="6"/>
      <c r="H27" s="6"/>
      <c r="I27" s="6"/>
    </row>
    <row r="28" spans="2:9">
      <c r="G28" s="6"/>
      <c r="H28" s="6"/>
      <c r="I28" s="6"/>
    </row>
    <row r="29" spans="2:9">
      <c r="B29" s="1" t="s">
        <v>14</v>
      </c>
      <c r="G29" s="8"/>
      <c r="H29" s="8"/>
      <c r="I29" s="8"/>
    </row>
    <row r="30" spans="2:9">
      <c r="B30" s="115"/>
      <c r="C30" s="115"/>
      <c r="D30" s="15" t="s">
        <v>15</v>
      </c>
      <c r="E30" s="16" t="s">
        <v>16</v>
      </c>
    </row>
    <row r="31" spans="2:9">
      <c r="B31" s="115" t="s">
        <v>17</v>
      </c>
      <c r="C31" s="115"/>
      <c r="D31" s="17">
        <f>'水道(2月)'!D8</f>
        <v>1280</v>
      </c>
      <c r="E31" s="18">
        <f>'下水道(2月)'!D8</f>
        <v>1200</v>
      </c>
    </row>
    <row r="32" spans="2:9">
      <c r="B32" s="115" t="s">
        <v>18</v>
      </c>
      <c r="C32" s="115"/>
      <c r="D32" s="18">
        <f>'水道(2月)'!E8</f>
        <v>4300</v>
      </c>
      <c r="E32" s="18">
        <f>'下水道(2月)'!E8</f>
        <v>2100</v>
      </c>
    </row>
    <row r="33" spans="2:5">
      <c r="B33" s="115" t="s">
        <v>128</v>
      </c>
      <c r="C33" s="115"/>
      <c r="D33" s="18">
        <f>IF(SUM(D31:D32)=0,0,SUM(D31:D32))</f>
        <v>5580</v>
      </c>
      <c r="E33" s="18">
        <f>IF(SUM(E31:E32)=0,0,SUM(E31:E32))</f>
        <v>3300</v>
      </c>
    </row>
  </sheetData>
  <sheetProtection algorithmName="SHA-512" hashValue="EUEU7qzfQZYisawr9YdjVlLj6oFOnd8TKA5tp8fQ6Nm0hsJwSdJD+lmHT4V9IYeUYZnN0tZ/ac6JXmY8HMDiqQ==" saltValue="Nz3y6rRFPOwTbLGw7zWzow==" spinCount="100000" sheet="1" objects="1" scenarios="1"/>
  <protectedRanges>
    <protectedRange algorithmName="SHA-512" hashValue="YBT67Gs7u1MIEiLtY4DJXZ8j4+NdB0QI5Qw937HRhDR5SVsueni0LpxncIIkQiT/baz0Bc/OaAL/ZUzWC+SfiQ==" saltValue="2OMrAgIR+Iq81X/z0x5NUQ==" spinCount="100000" sqref="E12" name="範囲3"/>
    <protectedRange algorithmName="SHA-512" hashValue="8z3zPIQHugzcx6vsh5ZZJqQBNlg4XU3TnwYR6MVMr0lJeoxqbnXZEMkN5ZxDZjV8mk4rUNIWu5TVfabiizdkUQ==" saltValue="9XOkRWzIxNxUqEK145sQkA==" spinCount="100000" sqref="E14" name="範囲2"/>
  </protectedRanges>
  <mergeCells count="8">
    <mergeCell ref="B32:C32"/>
    <mergeCell ref="B33:C33"/>
    <mergeCell ref="A2:I3"/>
    <mergeCell ref="A8:F8"/>
    <mergeCell ref="A16:F16"/>
    <mergeCell ref="B26:F27"/>
    <mergeCell ref="B30:C30"/>
    <mergeCell ref="B31:C31"/>
  </mergeCells>
  <phoneticPr fontId="3"/>
  <dataValidations count="1">
    <dataValidation type="list" allowBlank="1" showInputMessage="1" showErrorMessage="1" sqref="E12" xr:uid="{B9B3E87C-C12E-42BD-A828-D74C93989D70}">
      <formula1>"13,20,25,30,40,50,75,100"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7C4A-6425-4866-89B1-DDA07D752A8F}">
  <sheetPr>
    <tabColor theme="1"/>
  </sheetPr>
  <dimension ref="A1"/>
  <sheetViews>
    <sheetView topLeftCell="A2" workbookViewId="0">
      <selection activeCell="E31" sqref="E30:E31"/>
    </sheetView>
  </sheetViews>
  <sheetFormatPr defaultRowHeight="18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523C-9C0B-48B2-919F-D614EE98538F}">
  <sheetPr>
    <tabColor rgb="FFFF0000"/>
  </sheetPr>
  <dimension ref="A1:AP28"/>
  <sheetViews>
    <sheetView zoomScale="85" zoomScaleNormal="85" workbookViewId="0">
      <selection activeCell="E31" sqref="E30:E31"/>
    </sheetView>
  </sheetViews>
  <sheetFormatPr defaultRowHeight="18"/>
  <cols>
    <col min="5" max="6" width="11.5" customWidth="1"/>
    <col min="13" max="13" width="10.8984375" customWidth="1"/>
  </cols>
  <sheetData>
    <row r="1" spans="1:42">
      <c r="A1" s="1"/>
      <c r="B1" s="22"/>
      <c r="C1" s="23"/>
      <c r="D1" s="23"/>
      <c r="E1" s="23"/>
      <c r="F1" s="23"/>
      <c r="G1" s="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>
      <c r="A2" s="24"/>
      <c r="B2" s="122" t="s">
        <v>24</v>
      </c>
      <c r="C2" s="122" t="s">
        <v>25</v>
      </c>
      <c r="D2" s="124" t="s">
        <v>26</v>
      </c>
      <c r="E2" s="126" t="s">
        <v>27</v>
      </c>
      <c r="F2" s="128" t="s">
        <v>28</v>
      </c>
      <c r="G2" s="25"/>
      <c r="H2" s="26" t="s">
        <v>29</v>
      </c>
      <c r="I2" s="26" t="s">
        <v>30</v>
      </c>
      <c r="J2" s="26" t="s">
        <v>31</v>
      </c>
      <c r="K2" s="26" t="s">
        <v>32</v>
      </c>
      <c r="L2" s="26" t="s">
        <v>33</v>
      </c>
      <c r="M2" s="26" t="s">
        <v>34</v>
      </c>
      <c r="N2" s="1"/>
      <c r="O2" s="1"/>
      <c r="P2" s="1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>
      <c r="A3" s="1"/>
      <c r="B3" s="123"/>
      <c r="C3" s="123"/>
      <c r="D3" s="124"/>
      <c r="E3" s="126"/>
      <c r="F3" s="129"/>
      <c r="G3" s="27"/>
      <c r="H3" s="28">
        <v>10</v>
      </c>
      <c r="I3" s="28">
        <v>20</v>
      </c>
      <c r="J3" s="28">
        <v>100</v>
      </c>
      <c r="K3" s="28">
        <v>500</v>
      </c>
      <c r="L3" s="28">
        <v>6000</v>
      </c>
      <c r="M3" s="28">
        <v>2000000</v>
      </c>
      <c r="N3" s="1"/>
      <c r="O3" s="1"/>
      <c r="P3" s="1"/>
      <c r="Q3" s="3"/>
      <c r="R3" s="3">
        <f>COUNT(R7:R15)</f>
        <v>9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 t="str">
        <f>AD5&amp;AD4</f>
        <v>改定料金13</v>
      </c>
      <c r="AE3" s="3" t="str">
        <f>AE5&amp;AE4</f>
        <v>改定料金20</v>
      </c>
      <c r="AF3" s="3" t="str">
        <f>AF5&amp;AF4</f>
        <v>改定料金25</v>
      </c>
      <c r="AG3" s="3" t="str">
        <f>AG5&amp;AG4</f>
        <v>改定料金30</v>
      </c>
      <c r="AH3" s="3"/>
      <c r="AI3" s="3" t="str">
        <f>AI5&amp;AI6</f>
        <v>現行料金13</v>
      </c>
      <c r="AJ3" s="3" t="str">
        <f>AJ5&amp;AJ6</f>
        <v>現行料金25</v>
      </c>
      <c r="AK3" s="3" t="str">
        <f>AK5&amp;AK6</f>
        <v>現行料金30</v>
      </c>
      <c r="AL3" s="3"/>
      <c r="AM3" s="3" t="str">
        <f>AM5&amp;AM6</f>
        <v>改定料金13</v>
      </c>
      <c r="AN3" s="3" t="str">
        <f>AN5&amp;AN6</f>
        <v>改定料金25</v>
      </c>
      <c r="AO3" s="3" t="str">
        <f>AO5&amp;AO6</f>
        <v>改定料金30</v>
      </c>
      <c r="AP3" s="3"/>
    </row>
    <row r="4" spans="1:42" ht="18.600000000000001" thickBot="1">
      <c r="A4" s="1"/>
      <c r="B4" s="123"/>
      <c r="C4" s="123"/>
      <c r="D4" s="124"/>
      <c r="E4" s="126"/>
      <c r="F4" s="129"/>
      <c r="G4" s="29" t="s">
        <v>35</v>
      </c>
      <c r="H4" s="28" t="s">
        <v>36</v>
      </c>
      <c r="I4" s="28" t="s">
        <v>36</v>
      </c>
      <c r="J4" s="28" t="s">
        <v>36</v>
      </c>
      <c r="K4" s="28" t="s">
        <v>36</v>
      </c>
      <c r="L4" s="28" t="s">
        <v>36</v>
      </c>
      <c r="M4" s="28" t="s">
        <v>36</v>
      </c>
      <c r="N4" s="1"/>
      <c r="O4" s="1"/>
      <c r="P4" s="1"/>
      <c r="Q4" s="3"/>
      <c r="R4" s="3"/>
      <c r="S4" s="3" t="s">
        <v>37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>
        <v>13</v>
      </c>
      <c r="AE4" s="3">
        <v>20</v>
      </c>
      <c r="AF4" s="3">
        <v>25</v>
      </c>
      <c r="AG4" s="3">
        <v>30</v>
      </c>
      <c r="AH4" s="1"/>
      <c r="AI4" s="1"/>
      <c r="AJ4" s="1"/>
      <c r="AK4" s="1"/>
      <c r="AL4" s="1"/>
      <c r="AM4" s="1"/>
      <c r="AN4" s="1"/>
      <c r="AO4" s="1"/>
      <c r="AP4" s="1"/>
    </row>
    <row r="5" spans="1:42">
      <c r="A5" s="1"/>
      <c r="B5" s="123"/>
      <c r="C5" s="123"/>
      <c r="D5" s="124"/>
      <c r="E5" s="126"/>
      <c r="F5" s="129"/>
      <c r="G5" s="30">
        <v>13</v>
      </c>
      <c r="H5" s="28">
        <f>HLOOKUP($G5,$AD$7:$AG$13,2,FALSE)</f>
        <v>50</v>
      </c>
      <c r="I5" s="28">
        <f>HLOOKUP($G5,$AD$7:$AG$13,3,FALSE)</f>
        <v>100</v>
      </c>
      <c r="J5" s="28">
        <f>HLOOKUP($G5,$AD$7:$AG$13,4,FALSE)</f>
        <v>140</v>
      </c>
      <c r="K5" s="28">
        <f>HLOOKUP($G5,$AD$7:$AG$13,5,FALSE)</f>
        <v>210</v>
      </c>
      <c r="L5" s="28">
        <f>HLOOKUP($G5,$AD$7:$AG$13,6,FALSE)</f>
        <v>260</v>
      </c>
      <c r="M5" s="28">
        <f>HLOOKUP($G5,$AD$7:$AG$13,7,FALSE)</f>
        <v>270</v>
      </c>
      <c r="N5" s="1"/>
      <c r="O5" s="1"/>
      <c r="P5" s="1"/>
      <c r="Q5" s="3"/>
      <c r="R5" s="131" t="s">
        <v>35</v>
      </c>
      <c r="S5" s="31" t="s">
        <v>38</v>
      </c>
      <c r="T5" s="32" t="s">
        <v>39</v>
      </c>
      <c r="U5" s="32" t="s">
        <v>38</v>
      </c>
      <c r="V5" s="32"/>
      <c r="W5" s="33"/>
      <c r="X5" s="32"/>
      <c r="Y5" s="32"/>
      <c r="Z5" s="34"/>
      <c r="AA5" s="3"/>
      <c r="AB5" s="3"/>
      <c r="AC5" s="120" t="s">
        <v>35</v>
      </c>
      <c r="AD5" s="31" t="str">
        <f>S5</f>
        <v>改定料金</v>
      </c>
      <c r="AE5" s="35" t="str">
        <f>AD5</f>
        <v>改定料金</v>
      </c>
      <c r="AF5" s="35" t="str">
        <f>AE5</f>
        <v>改定料金</v>
      </c>
      <c r="AG5" s="36" t="str">
        <f>AF5</f>
        <v>改定料金</v>
      </c>
      <c r="AH5" s="3"/>
      <c r="AI5" s="37" t="s">
        <v>40</v>
      </c>
      <c r="AJ5" s="38" t="s">
        <v>40</v>
      </c>
      <c r="AK5" s="39" t="s">
        <v>40</v>
      </c>
      <c r="AL5" s="3"/>
      <c r="AM5" s="40" t="s">
        <v>41</v>
      </c>
      <c r="AN5" s="41" t="s">
        <v>41</v>
      </c>
      <c r="AO5" s="42" t="s">
        <v>41</v>
      </c>
      <c r="AP5" s="3"/>
    </row>
    <row r="6" spans="1:42">
      <c r="A6" s="1"/>
      <c r="B6" s="123"/>
      <c r="C6" s="123"/>
      <c r="D6" s="124"/>
      <c r="E6" s="126"/>
      <c r="F6" s="129"/>
      <c r="G6" s="30">
        <v>25</v>
      </c>
      <c r="H6" s="28">
        <f>HLOOKUP($G6,$AD$7:$AG$13,2,FALSE)</f>
        <v>50</v>
      </c>
      <c r="I6" s="28">
        <f>HLOOKUP($G6,$AD$7:$AG$13,3,FALSE)</f>
        <v>100</v>
      </c>
      <c r="J6" s="28">
        <f>HLOOKUP($G6,$AD$7:$AG$13,4,FALSE)</f>
        <v>140</v>
      </c>
      <c r="K6" s="28">
        <f>HLOOKUP($G6,$AD$7:$AG$13,5,FALSE)</f>
        <v>210</v>
      </c>
      <c r="L6" s="28">
        <f>HLOOKUP($G6,$AD$7:$AG$13,6,FALSE)</f>
        <v>260</v>
      </c>
      <c r="M6" s="28">
        <f>HLOOKUP($G6,$AD$7:$AG$13,7,FALSE)</f>
        <v>270</v>
      </c>
      <c r="N6" s="1"/>
      <c r="O6" s="1"/>
      <c r="P6" s="1"/>
      <c r="Q6" s="3"/>
      <c r="R6" s="132"/>
      <c r="S6" s="43"/>
      <c r="T6" s="44" t="s">
        <v>42</v>
      </c>
      <c r="U6" s="44" t="s">
        <v>43</v>
      </c>
      <c r="V6" s="44"/>
      <c r="W6" s="45"/>
      <c r="X6" s="44"/>
      <c r="Y6" s="45"/>
      <c r="Z6" s="46"/>
      <c r="AA6" s="3"/>
      <c r="AB6" s="3"/>
      <c r="AC6" s="121"/>
      <c r="AD6" s="47" t="str">
        <f>"口径φ"&amp;AD7</f>
        <v>口径φ13</v>
      </c>
      <c r="AE6" s="48" t="s">
        <v>44</v>
      </c>
      <c r="AF6" s="47" t="str">
        <f>"口径φ"&amp;AF7</f>
        <v>口径φ25</v>
      </c>
      <c r="AG6" s="49" t="s">
        <v>45</v>
      </c>
      <c r="AH6" s="1"/>
      <c r="AI6" s="50">
        <v>13</v>
      </c>
      <c r="AJ6" s="51">
        <v>25</v>
      </c>
      <c r="AK6" s="52">
        <v>30</v>
      </c>
      <c r="AL6" s="3"/>
      <c r="AM6" s="50">
        <v>13</v>
      </c>
      <c r="AN6" s="51">
        <v>25</v>
      </c>
      <c r="AO6" s="52">
        <v>30</v>
      </c>
      <c r="AP6" s="3"/>
    </row>
    <row r="7" spans="1:42">
      <c r="A7" s="1"/>
      <c r="B7" s="123"/>
      <c r="C7" s="123"/>
      <c r="D7" s="125"/>
      <c r="E7" s="127"/>
      <c r="F7" s="130"/>
      <c r="G7" s="30">
        <v>30</v>
      </c>
      <c r="H7" s="28">
        <f>HLOOKUP($G7,$AD$7:$AG$13,2,FALSE)</f>
        <v>50</v>
      </c>
      <c r="I7" s="28">
        <f>HLOOKUP($G7,$AD$7:$AG$13,3,FALSE)</f>
        <v>100</v>
      </c>
      <c r="J7" s="28">
        <f>HLOOKUP($G7,$AD$7:$AG$13,4,FALSE)</f>
        <v>140</v>
      </c>
      <c r="K7" s="28">
        <f>HLOOKUP($G7,$AD$7:$AG$13,5,FALSE)</f>
        <v>210</v>
      </c>
      <c r="L7" s="28">
        <f>HLOOKUP($G7,$AD$7:$AG$13,6,FALSE)</f>
        <v>260</v>
      </c>
      <c r="M7" s="28">
        <f>HLOOKUP($G7,$AD$7:$AG$13,7,FALSE)</f>
        <v>270</v>
      </c>
      <c r="N7" s="1"/>
      <c r="O7" s="1"/>
      <c r="P7" s="1"/>
      <c r="Q7" s="3"/>
      <c r="R7" s="53">
        <v>13</v>
      </c>
      <c r="S7" s="54">
        <f>HLOOKUP($S$5,$T$5:$Z$15,3,FALSE)</f>
        <v>1200</v>
      </c>
      <c r="T7" s="55">
        <v>850</v>
      </c>
      <c r="U7" s="55">
        <v>1200</v>
      </c>
      <c r="V7" s="55"/>
      <c r="W7" s="56"/>
      <c r="X7" s="56"/>
      <c r="Y7" s="56"/>
      <c r="Z7" s="57"/>
      <c r="AA7" s="3"/>
      <c r="AB7" s="3">
        <v>4</v>
      </c>
      <c r="AC7" s="58" t="s">
        <v>46</v>
      </c>
      <c r="AD7" s="59">
        <f>HLOOKUP(AD$3,$AI$3:$BI$12,4,FALSE)</f>
        <v>13</v>
      </c>
      <c r="AE7" s="60">
        <f>AD7</f>
        <v>13</v>
      </c>
      <c r="AF7" s="60">
        <f t="shared" ref="AF7:AF13" si="0">HLOOKUP(AF$3,$AI$3:$BI$12,AB7,FALSE)</f>
        <v>25</v>
      </c>
      <c r="AG7" s="61">
        <f t="shared" ref="AG7:AG13" si="1">HLOOKUP(AG$3,$AI$3:$BI$12,$AB7,FALSE)</f>
        <v>30</v>
      </c>
      <c r="AH7" s="3"/>
      <c r="AI7" s="62">
        <v>0</v>
      </c>
      <c r="AJ7" s="63">
        <v>0</v>
      </c>
      <c r="AK7" s="64">
        <v>110</v>
      </c>
      <c r="AL7" s="3"/>
      <c r="AM7" s="62">
        <v>50</v>
      </c>
      <c r="AN7" s="63">
        <v>50</v>
      </c>
      <c r="AO7" s="64">
        <v>50</v>
      </c>
      <c r="AP7" s="3"/>
    </row>
    <row r="8" spans="1:42">
      <c r="A8" s="1"/>
      <c r="B8" s="65">
        <f>料金計算ツール!E12</f>
        <v>20</v>
      </c>
      <c r="C8" s="21">
        <f>料金計算ツール!E14</f>
        <v>40</v>
      </c>
      <c r="D8" s="66">
        <f>SUMIF('水道(2月)'!$R$7:$R$15,B8,'水道(2月)'!$S$7:$S$15)</f>
        <v>1280</v>
      </c>
      <c r="E8" s="66">
        <f>ROUNDDOWN(SUMPRODUCT($H$5:$M$5,$H8:$M8),0)</f>
        <v>4300</v>
      </c>
      <c r="F8" s="66">
        <f>D8+E8</f>
        <v>5580</v>
      </c>
      <c r="G8" s="66"/>
      <c r="H8" s="67">
        <f>IF($H$3&lt;C8,10,C8)</f>
        <v>10</v>
      </c>
      <c r="I8" s="67">
        <f>IF($I$3&lt;C8,$I$3-$H$3,IF(C8-$H8&lt;0,0,C8-$H8))</f>
        <v>10</v>
      </c>
      <c r="J8" s="67">
        <f>IF(J$3&lt;C8,$J$3-$I$3,IF(C8-SUM($H8:I8)&lt;0,0,C8-SUM($H8:I8)))</f>
        <v>20</v>
      </c>
      <c r="K8" s="67">
        <f>IF(K$3&lt;C8,K$3-J$3,IF(C8-SUM($H8:J8)&lt;0,0,C8-SUM($H8:J8)))</f>
        <v>0</v>
      </c>
      <c r="L8" s="67">
        <f>IF(L$3&lt;C8,L$3-K$3,IF(C8-SUM($H8:K8)&lt;0,0,C8-SUM($H8:K8)))</f>
        <v>0</v>
      </c>
      <c r="M8" s="67">
        <f>IF(M$3&lt;C8,M$3-L$3,IF(C8-SUM($H8:L8)&lt;0,0,C8-SUM($H8:L8)))</f>
        <v>0</v>
      </c>
      <c r="N8" s="1"/>
      <c r="O8" s="1"/>
      <c r="P8" s="1"/>
      <c r="Q8" s="3"/>
      <c r="R8" s="68">
        <v>20</v>
      </c>
      <c r="S8" s="69">
        <f>HLOOKUP($S$5,$T$5:$Z$15,4,FALSE)</f>
        <v>1280</v>
      </c>
      <c r="T8" s="55">
        <v>900</v>
      </c>
      <c r="U8" s="55">
        <v>1280</v>
      </c>
      <c r="V8" s="70"/>
      <c r="W8" s="71"/>
      <c r="X8" s="71"/>
      <c r="Y8" s="71"/>
      <c r="Z8" s="72"/>
      <c r="AA8" s="3"/>
      <c r="AB8" s="3">
        <v>5</v>
      </c>
      <c r="AC8" s="68" t="s">
        <v>47</v>
      </c>
      <c r="AD8" s="73">
        <f>HLOOKUP(AD$3,$AI$3:$BI$12,5,FALSE)</f>
        <v>50</v>
      </c>
      <c r="AE8" s="63">
        <f>AD8</f>
        <v>50</v>
      </c>
      <c r="AF8" s="63">
        <f t="shared" si="0"/>
        <v>50</v>
      </c>
      <c r="AG8" s="64">
        <f t="shared" si="1"/>
        <v>50</v>
      </c>
      <c r="AH8" s="3"/>
      <c r="AI8" s="62">
        <v>90</v>
      </c>
      <c r="AJ8" s="63">
        <v>100</v>
      </c>
      <c r="AK8" s="64">
        <v>110</v>
      </c>
      <c r="AL8" s="3"/>
      <c r="AM8" s="62">
        <v>100</v>
      </c>
      <c r="AN8" s="63">
        <v>100</v>
      </c>
      <c r="AO8" s="64">
        <v>100</v>
      </c>
      <c r="AP8" s="3"/>
    </row>
    <row r="9" spans="1:42">
      <c r="A9" s="1"/>
      <c r="B9" s="74"/>
      <c r="C9" s="74"/>
      <c r="D9" s="74"/>
      <c r="E9" s="74" t="s">
        <v>129</v>
      </c>
      <c r="F9" s="74"/>
      <c r="G9" s="74"/>
      <c r="H9" s="74"/>
      <c r="I9" s="74"/>
      <c r="J9" s="74"/>
      <c r="K9" s="74"/>
      <c r="L9" s="74"/>
      <c r="M9" s="74"/>
      <c r="N9" s="1"/>
      <c r="O9" s="1"/>
      <c r="P9" s="1"/>
      <c r="Q9" s="3"/>
      <c r="R9" s="68">
        <v>25</v>
      </c>
      <c r="S9" s="69">
        <f>HLOOKUP($S$5,$T$5:$Z$15,5,FALSE)</f>
        <v>4240</v>
      </c>
      <c r="T9" s="55">
        <v>3000</v>
      </c>
      <c r="U9" s="55">
        <v>4240</v>
      </c>
      <c r="V9" s="70"/>
      <c r="W9" s="71"/>
      <c r="X9" s="71"/>
      <c r="Y9" s="71"/>
      <c r="Z9" s="72"/>
      <c r="AA9" s="3"/>
      <c r="AB9" s="3">
        <v>6</v>
      </c>
      <c r="AC9" s="68" t="s">
        <v>48</v>
      </c>
      <c r="AD9" s="73">
        <f>HLOOKUP(AD$3,$AI$3:$BI$12,AB9,FALSE)</f>
        <v>100</v>
      </c>
      <c r="AE9" s="63">
        <f t="shared" ref="AE9:AE13" si="2">AD9</f>
        <v>100</v>
      </c>
      <c r="AF9" s="63">
        <f t="shared" si="0"/>
        <v>100</v>
      </c>
      <c r="AG9" s="64">
        <f t="shared" si="1"/>
        <v>100</v>
      </c>
      <c r="AH9" s="3"/>
      <c r="AI9" s="62">
        <v>110</v>
      </c>
      <c r="AJ9" s="63">
        <v>110</v>
      </c>
      <c r="AK9" s="64">
        <v>110</v>
      </c>
      <c r="AL9" s="3"/>
      <c r="AM9" s="62">
        <v>140</v>
      </c>
      <c r="AN9" s="63">
        <v>140</v>
      </c>
      <c r="AO9" s="64">
        <v>140</v>
      </c>
      <c r="AP9" s="3"/>
    </row>
    <row r="10" spans="1:42">
      <c r="A10" s="1"/>
      <c r="B10" s="74" t="s">
        <v>49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1"/>
      <c r="O10" s="1"/>
      <c r="P10" s="1"/>
      <c r="Q10" s="3"/>
      <c r="R10" s="68">
        <v>30</v>
      </c>
      <c r="S10" s="69">
        <f>HLOOKUP($S$5,$T$5:$Z$15,6,FALSE)</f>
        <v>12340</v>
      </c>
      <c r="T10" s="55">
        <v>8740</v>
      </c>
      <c r="U10" s="55">
        <v>12340</v>
      </c>
      <c r="V10" s="70"/>
      <c r="W10" s="71"/>
      <c r="X10" s="71"/>
      <c r="Y10" s="71"/>
      <c r="Z10" s="72"/>
      <c r="AA10" s="3"/>
      <c r="AB10" s="3">
        <v>7</v>
      </c>
      <c r="AC10" s="68" t="s">
        <v>50</v>
      </c>
      <c r="AD10" s="73">
        <f>HLOOKUP(AD$3,$AI$3:$BI$12,AB10,FALSE)</f>
        <v>140</v>
      </c>
      <c r="AE10" s="63">
        <f t="shared" si="2"/>
        <v>140</v>
      </c>
      <c r="AF10" s="63">
        <f t="shared" si="0"/>
        <v>140</v>
      </c>
      <c r="AG10" s="64">
        <f t="shared" si="1"/>
        <v>140</v>
      </c>
      <c r="AH10" s="3"/>
      <c r="AI10" s="62">
        <v>170</v>
      </c>
      <c r="AJ10" s="63">
        <v>170</v>
      </c>
      <c r="AK10" s="64">
        <v>170</v>
      </c>
      <c r="AL10" s="3"/>
      <c r="AM10" s="62">
        <v>210</v>
      </c>
      <c r="AN10" s="63">
        <v>210</v>
      </c>
      <c r="AO10" s="64">
        <v>210</v>
      </c>
      <c r="AP10" s="3"/>
    </row>
    <row r="11" spans="1:42">
      <c r="A11" s="1"/>
      <c r="B11" s="74"/>
      <c r="C11" s="74"/>
      <c r="D11" s="74" t="str">
        <f>D12&amp;E12&amp;F12&amp;G12&amp;H12&amp;I12</f>
        <v>メータ口径20ミリメートルで、使用水量40立方メートルの場合</v>
      </c>
      <c r="E11" s="74"/>
      <c r="F11" s="74"/>
      <c r="G11" s="74"/>
      <c r="H11" s="74"/>
      <c r="I11" s="74"/>
      <c r="J11" s="74"/>
      <c r="K11" s="1"/>
      <c r="L11" s="1"/>
      <c r="M11" s="1"/>
      <c r="N11" s="1"/>
      <c r="O11" s="1"/>
      <c r="P11" s="1"/>
      <c r="Q11" s="3"/>
      <c r="R11" s="68">
        <v>40</v>
      </c>
      <c r="S11" s="69">
        <f>HLOOKUP($S$5,$T$5:$Z$15,7,FALSE)</f>
        <v>15020</v>
      </c>
      <c r="T11" s="55">
        <v>10640</v>
      </c>
      <c r="U11" s="55">
        <v>15020</v>
      </c>
      <c r="V11" s="70"/>
      <c r="W11" s="71"/>
      <c r="X11" s="71"/>
      <c r="Y11" s="71"/>
      <c r="Z11" s="72"/>
      <c r="AA11" s="3"/>
      <c r="AB11" s="3">
        <v>8</v>
      </c>
      <c r="AC11" s="68" t="s">
        <v>51</v>
      </c>
      <c r="AD11" s="73">
        <f>HLOOKUP(AD$3,$AI$3:$BI$12,AB11,FALSE)</f>
        <v>210</v>
      </c>
      <c r="AE11" s="63">
        <f t="shared" si="2"/>
        <v>210</v>
      </c>
      <c r="AF11" s="63">
        <f t="shared" si="0"/>
        <v>210</v>
      </c>
      <c r="AG11" s="64">
        <f t="shared" si="1"/>
        <v>210</v>
      </c>
      <c r="AH11" s="3"/>
      <c r="AI11" s="62">
        <v>210</v>
      </c>
      <c r="AJ11" s="63">
        <v>210</v>
      </c>
      <c r="AK11" s="64">
        <v>210</v>
      </c>
      <c r="AL11" s="3"/>
      <c r="AM11" s="62">
        <v>260</v>
      </c>
      <c r="AN11" s="63">
        <v>260</v>
      </c>
      <c r="AO11" s="64">
        <v>260</v>
      </c>
      <c r="AP11" s="3"/>
    </row>
    <row r="12" spans="1:42">
      <c r="A12" s="1"/>
      <c r="B12" s="74"/>
      <c r="C12" s="1"/>
      <c r="D12" s="107" t="s">
        <v>56</v>
      </c>
      <c r="E12" s="74">
        <f>B8</f>
        <v>20</v>
      </c>
      <c r="F12" s="74" t="s">
        <v>103</v>
      </c>
      <c r="G12" s="74"/>
      <c r="H12" s="74">
        <f>C8</f>
        <v>40</v>
      </c>
      <c r="I12" s="74" t="s">
        <v>104</v>
      </c>
      <c r="J12" s="74"/>
      <c r="K12" s="1"/>
      <c r="L12" s="1"/>
      <c r="M12" s="1"/>
      <c r="N12" s="3"/>
      <c r="O12" s="1"/>
      <c r="P12" s="1"/>
      <c r="Q12" s="3"/>
      <c r="R12" s="68">
        <v>50</v>
      </c>
      <c r="S12" s="69">
        <f>HLOOKUP($S$5,$T$5:$Z$15,8,FALSE)</f>
        <v>17700</v>
      </c>
      <c r="T12" s="55">
        <v>12540</v>
      </c>
      <c r="U12" s="55">
        <v>17700</v>
      </c>
      <c r="V12" s="70"/>
      <c r="W12" s="71"/>
      <c r="X12" s="71"/>
      <c r="Y12" s="71"/>
      <c r="Z12" s="72"/>
      <c r="AA12" s="3"/>
      <c r="AB12" s="3">
        <v>9</v>
      </c>
      <c r="AC12" s="68" t="s">
        <v>52</v>
      </c>
      <c r="AD12" s="73">
        <f>HLOOKUP(AD$3,$AI$3:$BI$12,AB12,FALSE)</f>
        <v>260</v>
      </c>
      <c r="AE12" s="63">
        <f t="shared" si="2"/>
        <v>260</v>
      </c>
      <c r="AF12" s="63">
        <f t="shared" si="0"/>
        <v>260</v>
      </c>
      <c r="AG12" s="64">
        <f t="shared" si="1"/>
        <v>260</v>
      </c>
      <c r="AH12" s="3"/>
      <c r="AI12" s="62">
        <v>220</v>
      </c>
      <c r="AJ12" s="63">
        <v>220</v>
      </c>
      <c r="AK12" s="64">
        <v>220</v>
      </c>
      <c r="AL12" s="3"/>
      <c r="AM12" s="62">
        <v>270</v>
      </c>
      <c r="AN12" s="63">
        <v>270</v>
      </c>
      <c r="AO12" s="64">
        <v>270</v>
      </c>
      <c r="AP12" s="3"/>
    </row>
    <row r="13" spans="1:42">
      <c r="A13" s="1"/>
      <c r="B13" s="74"/>
      <c r="C13" s="74"/>
      <c r="D13" s="74"/>
      <c r="E13" s="74"/>
      <c r="F13" s="74"/>
      <c r="G13" s="74"/>
      <c r="H13" s="74"/>
      <c r="I13" s="74"/>
      <c r="J13" s="74"/>
      <c r="K13" s="1"/>
      <c r="L13" s="1"/>
      <c r="M13" s="1"/>
      <c r="N13" s="3"/>
      <c r="O13" s="1"/>
      <c r="P13" s="1"/>
      <c r="Q13" s="1"/>
      <c r="R13" s="68">
        <v>75</v>
      </c>
      <c r="S13" s="69">
        <f>HLOOKUP($S$5,$T$5:$Z$15,9,FALSE)</f>
        <v>26820</v>
      </c>
      <c r="T13" s="55">
        <v>19000</v>
      </c>
      <c r="U13" s="55">
        <v>26820</v>
      </c>
      <c r="V13" s="70"/>
      <c r="W13" s="71"/>
      <c r="X13" s="71"/>
      <c r="Y13" s="71"/>
      <c r="Z13" s="72"/>
      <c r="AA13" s="3"/>
      <c r="AB13" s="3">
        <v>10</v>
      </c>
      <c r="AC13" s="68" t="s">
        <v>53</v>
      </c>
      <c r="AD13" s="73">
        <f>HLOOKUP(AD$3,$AI$3:$BI$12,AB13,FALSE)</f>
        <v>270</v>
      </c>
      <c r="AE13" s="63">
        <f t="shared" si="2"/>
        <v>270</v>
      </c>
      <c r="AF13" s="63">
        <f t="shared" si="0"/>
        <v>270</v>
      </c>
      <c r="AG13" s="64">
        <f t="shared" si="1"/>
        <v>270</v>
      </c>
      <c r="AH13" s="3"/>
      <c r="AI13" s="62"/>
      <c r="AJ13" s="63"/>
      <c r="AK13" s="64"/>
      <c r="AL13" s="3"/>
      <c r="AM13" s="62"/>
      <c r="AN13" s="63"/>
      <c r="AO13" s="64"/>
      <c r="AP13" s="3"/>
    </row>
    <row r="14" spans="1:42">
      <c r="A14" s="1"/>
      <c r="B14" s="74"/>
      <c r="C14" s="74"/>
      <c r="D14" s="74" t="s">
        <v>54</v>
      </c>
      <c r="E14" s="74" t="str">
        <f>E15&amp;B8&amp;F15&amp;D8&amp;G15</f>
        <v>メータ口径20ミリメートルですので、1280円です。</v>
      </c>
      <c r="F14" s="74"/>
      <c r="G14" s="74"/>
      <c r="H14" s="74"/>
      <c r="I14" s="74"/>
      <c r="J14" s="74"/>
      <c r="K14" s="1"/>
      <c r="L14" s="1"/>
      <c r="M14" s="1"/>
      <c r="N14" s="3"/>
      <c r="O14" s="1"/>
      <c r="P14" s="1"/>
      <c r="Q14" s="1"/>
      <c r="R14" s="68">
        <v>100</v>
      </c>
      <c r="S14" s="69">
        <f>HLOOKUP($S$5,$T$5:$Z$15,10,FALSE)</f>
        <v>42920</v>
      </c>
      <c r="T14" s="55">
        <v>30400</v>
      </c>
      <c r="U14" s="55">
        <v>42920</v>
      </c>
      <c r="V14" s="70"/>
      <c r="W14" s="76"/>
      <c r="X14" s="76"/>
      <c r="Y14" s="76"/>
      <c r="Z14" s="72"/>
      <c r="AA14" s="3"/>
      <c r="AB14" s="3"/>
      <c r="AC14" s="68" t="s">
        <v>55</v>
      </c>
      <c r="AD14" s="73"/>
      <c r="AE14" s="63"/>
      <c r="AF14" s="63"/>
      <c r="AG14" s="64"/>
      <c r="AH14" s="3"/>
      <c r="AI14" s="62"/>
      <c r="AJ14" s="63"/>
      <c r="AK14" s="64"/>
      <c r="AL14" s="3"/>
      <c r="AM14" s="62"/>
      <c r="AN14" s="63"/>
      <c r="AO14" s="64"/>
      <c r="AP14" s="3"/>
    </row>
    <row r="15" spans="1:42" ht="18.600000000000001" thickBot="1">
      <c r="A15" s="1"/>
      <c r="B15" s="74"/>
      <c r="C15" s="74"/>
      <c r="D15" s="74"/>
      <c r="E15" s="74" t="s">
        <v>56</v>
      </c>
      <c r="F15" s="74" t="s">
        <v>57</v>
      </c>
      <c r="G15" s="74" t="s">
        <v>58</v>
      </c>
      <c r="H15" s="74"/>
      <c r="I15" s="74"/>
      <c r="J15" s="1"/>
      <c r="K15" s="1"/>
      <c r="L15" s="1"/>
      <c r="M15" s="1"/>
      <c r="N15" s="3"/>
      <c r="O15" s="1"/>
      <c r="P15" s="1"/>
      <c r="Q15" s="1"/>
      <c r="R15" s="77">
        <v>150</v>
      </c>
      <c r="S15" s="78"/>
      <c r="T15" s="79"/>
      <c r="U15" s="80"/>
      <c r="V15" s="80"/>
      <c r="W15" s="81"/>
      <c r="X15" s="81"/>
      <c r="Y15" s="81"/>
      <c r="Z15" s="82"/>
      <c r="AA15" s="3"/>
      <c r="AB15" s="3"/>
      <c r="AC15" s="77"/>
      <c r="AD15" s="83"/>
      <c r="AE15" s="84"/>
      <c r="AF15" s="84"/>
      <c r="AG15" s="85"/>
      <c r="AH15" s="3"/>
      <c r="AI15" s="86"/>
      <c r="AJ15" s="84"/>
      <c r="AK15" s="85"/>
      <c r="AL15" s="3"/>
      <c r="AM15" s="86"/>
      <c r="AN15" s="84"/>
      <c r="AO15" s="85"/>
      <c r="AP15" s="3"/>
    </row>
    <row r="16" spans="1:42">
      <c r="A16" s="1"/>
      <c r="B16" s="74"/>
      <c r="C16" s="74"/>
      <c r="D16" s="74" t="s">
        <v>59</v>
      </c>
      <c r="F16" s="1"/>
      <c r="G16" s="74"/>
      <c r="H16" s="74"/>
      <c r="I16" s="74"/>
      <c r="J16" s="74"/>
      <c r="K16" s="1"/>
      <c r="L16" s="1"/>
      <c r="M16" s="1"/>
      <c r="N16" s="3"/>
      <c r="O16" s="1"/>
      <c r="P16" s="1"/>
      <c r="Q16" s="1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1"/>
      <c r="AD16" s="1"/>
      <c r="AE16" s="1"/>
      <c r="AF16" s="1"/>
      <c r="AG16" s="1"/>
      <c r="AH16" s="3"/>
      <c r="AI16" s="3"/>
      <c r="AJ16" s="3"/>
      <c r="AK16" s="3"/>
      <c r="AL16" s="3"/>
      <c r="AM16" s="3"/>
      <c r="AN16" s="3"/>
      <c r="AO16" s="3"/>
      <c r="AP16" s="3"/>
    </row>
    <row r="17" spans="1:42">
      <c r="A17" s="1"/>
      <c r="B17" s="74"/>
      <c r="C17" s="74"/>
      <c r="D17" s="74" t="s">
        <v>60</v>
      </c>
      <c r="F17" s="74">
        <f>$H$8</f>
        <v>10</v>
      </c>
      <c r="G17" s="106" t="s">
        <v>61</v>
      </c>
      <c r="H17" s="87">
        <f>H5</f>
        <v>50</v>
      </c>
      <c r="I17" s="1" t="s">
        <v>62</v>
      </c>
      <c r="J17" s="1">
        <f>$H$5*$H$8</f>
        <v>500</v>
      </c>
      <c r="K17" s="1" t="s">
        <v>63</v>
      </c>
      <c r="L17" s="74" t="str">
        <f t="shared" ref="L17:L22" si="3">D17&amp;" :"&amp;F17&amp;G17&amp;H17&amp;I17&amp;J17&amp;K17</f>
        <v>0～10㎥ :10立方メートル×50＝500円</v>
      </c>
      <c r="M17" s="1"/>
      <c r="N17" s="3"/>
      <c r="O17" s="1"/>
      <c r="P17" s="1"/>
      <c r="Q17" s="1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1"/>
      <c r="AD17" s="1"/>
      <c r="AE17" s="1"/>
      <c r="AF17" s="1"/>
      <c r="AG17" s="1"/>
      <c r="AH17" s="3"/>
      <c r="AI17" s="3"/>
      <c r="AJ17" s="3"/>
      <c r="AK17" s="3"/>
      <c r="AL17" s="3"/>
      <c r="AM17" s="3"/>
      <c r="AN17" s="3"/>
      <c r="AO17" s="3"/>
      <c r="AP17" s="3"/>
    </row>
    <row r="18" spans="1:42">
      <c r="A18" s="1"/>
      <c r="B18" s="74"/>
      <c r="C18" s="74"/>
      <c r="D18" s="74" t="s">
        <v>64</v>
      </c>
      <c r="F18" s="74">
        <f>$I$8</f>
        <v>10</v>
      </c>
      <c r="G18" s="106" t="s">
        <v>61</v>
      </c>
      <c r="H18" s="74">
        <f>I5</f>
        <v>100</v>
      </c>
      <c r="I18" s="1" t="s">
        <v>62</v>
      </c>
      <c r="J18" s="1">
        <f>$I$5*$I$8</f>
        <v>1000</v>
      </c>
      <c r="K18" s="1" t="s">
        <v>63</v>
      </c>
      <c r="L18" s="74" t="str">
        <f t="shared" si="3"/>
        <v>11～20㎥ :10立方メートル×100＝1000円</v>
      </c>
      <c r="M18" s="1"/>
      <c r="N18" s="1"/>
      <c r="O18" s="1"/>
      <c r="P18" s="1"/>
      <c r="Q18" s="1"/>
      <c r="R18" s="3"/>
      <c r="S18" s="3"/>
      <c r="T18" s="3"/>
      <c r="U18" s="3"/>
      <c r="V18" s="3"/>
      <c r="W18" s="3"/>
      <c r="X18" s="3"/>
      <c r="Y18" s="3"/>
      <c r="Z18" s="3"/>
      <c r="AA18" s="88"/>
      <c r="AB18" s="3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</row>
    <row r="19" spans="1:42">
      <c r="A19" s="1"/>
      <c r="B19" s="74"/>
      <c r="C19" s="74"/>
      <c r="D19" s="74" t="s">
        <v>65</v>
      </c>
      <c r="F19" s="74">
        <f>$J$8</f>
        <v>20</v>
      </c>
      <c r="G19" s="106" t="s">
        <v>61</v>
      </c>
      <c r="H19" s="87">
        <f>J5</f>
        <v>140</v>
      </c>
      <c r="I19" s="1" t="s">
        <v>62</v>
      </c>
      <c r="J19" s="1">
        <f>$J$5*$J$8</f>
        <v>2800</v>
      </c>
      <c r="K19" s="1" t="s">
        <v>63</v>
      </c>
      <c r="L19" s="74" t="str">
        <f t="shared" si="3"/>
        <v>21～100㎥ :20立方メートル×140＝2800円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>
      <c r="A20" s="1"/>
      <c r="B20" s="74"/>
      <c r="C20" s="74"/>
      <c r="D20" s="74" t="s">
        <v>66</v>
      </c>
      <c r="F20" s="74">
        <f>K8</f>
        <v>0</v>
      </c>
      <c r="G20" s="106" t="s">
        <v>61</v>
      </c>
      <c r="H20" s="74">
        <f>K5</f>
        <v>210</v>
      </c>
      <c r="I20" s="1" t="s">
        <v>62</v>
      </c>
      <c r="J20" s="1">
        <f>$K$5*$K$8</f>
        <v>0</v>
      </c>
      <c r="K20" s="1" t="s">
        <v>63</v>
      </c>
      <c r="L20" s="74" t="str">
        <f t="shared" si="3"/>
        <v>101～
500㎥ :0立方メートル×210＝0円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>
      <c r="A21" s="1"/>
      <c r="B21" s="74"/>
      <c r="C21" s="74"/>
      <c r="D21" s="74" t="s">
        <v>67</v>
      </c>
      <c r="F21" s="74">
        <f>L8</f>
        <v>0</v>
      </c>
      <c r="G21" s="106" t="s">
        <v>61</v>
      </c>
      <c r="H21" s="74">
        <f>L5</f>
        <v>260</v>
      </c>
      <c r="I21" s="1" t="s">
        <v>62</v>
      </c>
      <c r="J21" s="1">
        <f>$L$5*$L$8</f>
        <v>0</v>
      </c>
      <c r="K21" s="1" t="s">
        <v>63</v>
      </c>
      <c r="L21" s="74" t="str">
        <f t="shared" si="3"/>
        <v>501～
6,000㎥ :0立方メートル×260＝0円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>
      <c r="A22" s="1"/>
      <c r="B22" s="74"/>
      <c r="C22" s="74"/>
      <c r="D22" s="74" t="s">
        <v>68</v>
      </c>
      <c r="F22" s="74">
        <f>M8</f>
        <v>0</v>
      </c>
      <c r="G22" s="106" t="s">
        <v>61</v>
      </c>
      <c r="H22" s="74">
        <f>M5</f>
        <v>270</v>
      </c>
      <c r="I22" s="1" t="s">
        <v>62</v>
      </c>
      <c r="J22" s="1">
        <f>$M$5*$M$8</f>
        <v>0</v>
      </c>
      <c r="K22" s="1" t="s">
        <v>63</v>
      </c>
      <c r="L22" s="74" t="str">
        <f t="shared" si="3"/>
        <v>6,001㎥以上 :0立方メートル×270＝0円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1"/>
      <c r="AJ22" s="1"/>
      <c r="AK22" s="1"/>
      <c r="AL22" s="1"/>
      <c r="AM22" s="1"/>
      <c r="AN22" s="1"/>
      <c r="AO22" s="1"/>
      <c r="AP22" s="1"/>
    </row>
    <row r="23" spans="1:42">
      <c r="A23" s="1"/>
      <c r="B23" s="74"/>
      <c r="C23" s="74"/>
      <c r="D23" s="74"/>
      <c r="F23" s="74"/>
      <c r="G23" s="74"/>
      <c r="H23" s="74"/>
      <c r="I23" s="74" t="s">
        <v>69</v>
      </c>
      <c r="J23" s="74">
        <f>SUM(J17:J22)</f>
        <v>4300</v>
      </c>
      <c r="K23" s="1" t="s">
        <v>63</v>
      </c>
      <c r="L23" s="1" t="str">
        <f>I23&amp;J23&amp;K23</f>
        <v>小計4300円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>
      <c r="A24" s="1"/>
      <c r="B24" s="74"/>
      <c r="C24" s="1" t="s">
        <v>70</v>
      </c>
      <c r="D24" s="89">
        <f>D8</f>
        <v>1280</v>
      </c>
      <c r="E24" s="1" t="s">
        <v>63</v>
      </c>
      <c r="F24" s="1" t="s">
        <v>71</v>
      </c>
      <c r="G24" s="74">
        <f>J23</f>
        <v>4300</v>
      </c>
      <c r="H24" s="1" t="s">
        <v>63</v>
      </c>
      <c r="I24" s="1" t="s">
        <v>62</v>
      </c>
      <c r="J24" s="89">
        <f>D24+G24</f>
        <v>5580</v>
      </c>
      <c r="K24" s="1" t="s">
        <v>63</v>
      </c>
      <c r="L24" s="1" t="str">
        <f>C24&amp;D24&amp;E24&amp;F24&amp;G24&amp;H24&amp;I24&amp;J24&amp;K24</f>
        <v>合計1280円＋4300円＝5580円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>
      <c r="A25" s="1"/>
      <c r="B25" s="74"/>
      <c r="C25" s="1"/>
      <c r="D25" s="1"/>
      <c r="E25" s="1"/>
      <c r="F25" s="1"/>
      <c r="G25" s="1"/>
      <c r="H25" s="1"/>
      <c r="I25" s="1"/>
      <c r="J25" s="7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>
      <c r="A26" s="1"/>
      <c r="B26" s="74"/>
      <c r="C26" s="1"/>
      <c r="D26" s="1"/>
      <c r="E26" s="1"/>
      <c r="F26" s="1"/>
      <c r="G26" s="1"/>
      <c r="H26" s="1"/>
      <c r="I26" s="1"/>
      <c r="J26" s="74"/>
      <c r="K26" s="1"/>
      <c r="L26" s="1"/>
      <c r="M26" s="1"/>
      <c r="N26" s="1"/>
      <c r="O26" s="1"/>
      <c r="P26" s="1"/>
      <c r="Q26" s="1"/>
      <c r="R26" s="1"/>
      <c r="S26" s="90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</sheetData>
  <mergeCells count="7">
    <mergeCell ref="AC5:AC6"/>
    <mergeCell ref="B2:B7"/>
    <mergeCell ref="C2:C7"/>
    <mergeCell ref="D2:D7"/>
    <mergeCell ref="E2:E7"/>
    <mergeCell ref="F2:F7"/>
    <mergeCell ref="R5:R6"/>
  </mergeCells>
  <phoneticPr fontId="3"/>
  <dataValidations count="1">
    <dataValidation type="list" allowBlank="1" showInputMessage="1" showErrorMessage="1" sqref="S5" xr:uid="{CCFE4BD4-0CDF-4D4D-957A-3400ABB3529C}">
      <formula1>$T$5:$Y$5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AA5B-B89D-469F-889F-254B00952231}">
  <sheetPr>
    <tabColor rgb="FFFF0000"/>
  </sheetPr>
  <dimension ref="A1:AS57"/>
  <sheetViews>
    <sheetView zoomScale="70" zoomScaleNormal="70" workbookViewId="0">
      <selection activeCell="E31" sqref="E30:E31"/>
    </sheetView>
  </sheetViews>
  <sheetFormatPr defaultRowHeight="18"/>
  <cols>
    <col min="5" max="6" width="10.19921875" customWidth="1"/>
    <col min="12" max="12" width="12.8984375" customWidth="1"/>
  </cols>
  <sheetData>
    <row r="1" spans="1:45">
      <c r="A1" s="1"/>
      <c r="B1" s="22"/>
      <c r="C1" s="23"/>
      <c r="D1" s="23"/>
      <c r="E1" s="2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3"/>
      <c r="AN1" s="3"/>
      <c r="AO1" s="3"/>
      <c r="AP1" s="3"/>
      <c r="AQ1" s="3"/>
      <c r="AR1" s="3"/>
      <c r="AS1" s="3"/>
    </row>
    <row r="2" spans="1:45">
      <c r="A2" s="24"/>
      <c r="B2" s="122" t="s">
        <v>24</v>
      </c>
      <c r="C2" s="122" t="s">
        <v>72</v>
      </c>
      <c r="D2" s="124" t="s">
        <v>73</v>
      </c>
      <c r="E2" s="126" t="s">
        <v>74</v>
      </c>
      <c r="F2" s="126" t="s">
        <v>75</v>
      </c>
      <c r="G2" s="26" t="s">
        <v>29</v>
      </c>
      <c r="H2" s="26" t="s">
        <v>30</v>
      </c>
      <c r="I2" s="26" t="s">
        <v>31</v>
      </c>
      <c r="J2" s="26" t="s">
        <v>32</v>
      </c>
      <c r="K2" s="26" t="s">
        <v>33</v>
      </c>
      <c r="L2" s="26" t="s">
        <v>34</v>
      </c>
      <c r="M2" s="1"/>
      <c r="N2" s="1"/>
      <c r="O2" s="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1"/>
      <c r="B3" s="123"/>
      <c r="C3" s="123"/>
      <c r="D3" s="124"/>
      <c r="E3" s="126"/>
      <c r="F3" s="126"/>
      <c r="G3" s="28">
        <v>20</v>
      </c>
      <c r="H3" s="28">
        <v>50</v>
      </c>
      <c r="I3" s="28">
        <v>100</v>
      </c>
      <c r="J3" s="28">
        <v>150</v>
      </c>
      <c r="K3" s="28">
        <v>200</v>
      </c>
      <c r="L3" s="28">
        <v>2000000</v>
      </c>
      <c r="M3" s="1"/>
      <c r="N3" s="1"/>
      <c r="O3" s="1"/>
      <c r="P3" s="3"/>
      <c r="Q3" s="3">
        <f>COUNT(Q7:Q15)</f>
        <v>9</v>
      </c>
      <c r="R3" s="3"/>
      <c r="S3" s="3"/>
      <c r="T3" s="3"/>
      <c r="U3" s="3"/>
      <c r="V3" s="3"/>
      <c r="W3" s="3"/>
      <c r="X3" s="3"/>
      <c r="Y3" s="3"/>
      <c r="Z3" s="3"/>
      <c r="AA3" s="3"/>
      <c r="AB3" s="3">
        <f>COUNT(AB7:AB18)</f>
        <v>6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8.600000000000001" thickBot="1">
      <c r="A4" s="1"/>
      <c r="B4" s="123"/>
      <c r="C4" s="123"/>
      <c r="D4" s="124"/>
      <c r="E4" s="126"/>
      <c r="F4" s="126"/>
      <c r="G4" s="28" t="s">
        <v>36</v>
      </c>
      <c r="H4" s="28" t="s">
        <v>36</v>
      </c>
      <c r="I4" s="28" t="s">
        <v>36</v>
      </c>
      <c r="J4" s="28" t="s">
        <v>36</v>
      </c>
      <c r="K4" s="28" t="s">
        <v>36</v>
      </c>
      <c r="L4" s="28" t="s">
        <v>36</v>
      </c>
      <c r="M4" s="1"/>
      <c r="N4" s="1"/>
      <c r="O4" s="1"/>
      <c r="P4" s="3"/>
      <c r="Q4" s="3"/>
      <c r="R4" s="3" t="s">
        <v>37</v>
      </c>
      <c r="S4" s="3"/>
      <c r="T4" s="3" t="s">
        <v>76</v>
      </c>
      <c r="U4" s="3" t="s">
        <v>77</v>
      </c>
      <c r="V4" s="3" t="s">
        <v>78</v>
      </c>
      <c r="W4" s="3" t="s">
        <v>79</v>
      </c>
      <c r="X4" s="3" t="s">
        <v>80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>
      <c r="A5" s="1"/>
      <c r="B5" s="123"/>
      <c r="C5" s="123"/>
      <c r="D5" s="124"/>
      <c r="E5" s="126"/>
      <c r="F5" s="126"/>
      <c r="G5" s="28">
        <f>AE7</f>
        <v>15</v>
      </c>
      <c r="H5" s="28">
        <f>AE8</f>
        <v>90</v>
      </c>
      <c r="I5" s="28">
        <f>AE9</f>
        <v>120</v>
      </c>
      <c r="J5" s="28">
        <f>AE10</f>
        <v>150</v>
      </c>
      <c r="K5" s="28">
        <f>AE11</f>
        <v>160</v>
      </c>
      <c r="L5" s="28">
        <f>AE12</f>
        <v>170</v>
      </c>
      <c r="M5" s="1"/>
      <c r="N5" s="1"/>
      <c r="O5" s="1"/>
      <c r="P5" s="3"/>
      <c r="Q5" s="131" t="s">
        <v>35</v>
      </c>
      <c r="R5" s="31" t="s">
        <v>38</v>
      </c>
      <c r="S5" s="32" t="s">
        <v>39</v>
      </c>
      <c r="T5" s="32" t="s">
        <v>38</v>
      </c>
      <c r="U5" s="32"/>
      <c r="V5" s="33"/>
      <c r="W5" s="32"/>
      <c r="X5" s="32"/>
      <c r="Y5" s="34"/>
      <c r="Z5" s="3"/>
      <c r="AA5" s="133" t="s">
        <v>81</v>
      </c>
      <c r="AB5" s="134"/>
      <c r="AC5" s="134"/>
      <c r="AD5" s="135"/>
      <c r="AE5" s="91" t="str">
        <f>R5</f>
        <v>改定料金</v>
      </c>
      <c r="AF5" s="32" t="s">
        <v>39</v>
      </c>
      <c r="AG5" s="32" t="str">
        <f t="shared" ref="AG5" si="0">T5</f>
        <v>改定料金</v>
      </c>
      <c r="AH5" s="32"/>
      <c r="AI5" s="32"/>
      <c r="AJ5" s="33"/>
      <c r="AK5" s="32"/>
      <c r="AL5" s="34"/>
      <c r="AM5" s="3"/>
      <c r="AN5" s="3"/>
      <c r="AO5" s="3"/>
      <c r="AP5" s="3"/>
      <c r="AQ5" s="3"/>
      <c r="AR5" s="3"/>
      <c r="AS5" s="3"/>
    </row>
    <row r="6" spans="1:45">
      <c r="A6" s="1"/>
      <c r="B6" s="123"/>
      <c r="C6" s="123"/>
      <c r="D6" s="124"/>
      <c r="E6" s="126"/>
      <c r="F6" s="126"/>
      <c r="G6" s="28"/>
      <c r="H6" s="28"/>
      <c r="I6" s="28"/>
      <c r="J6" s="28"/>
      <c r="K6" s="28"/>
      <c r="L6" s="28"/>
      <c r="M6" s="1"/>
      <c r="N6" s="1"/>
      <c r="O6" s="1"/>
      <c r="P6" s="3"/>
      <c r="Q6" s="132"/>
      <c r="R6" s="43"/>
      <c r="S6" s="44" t="s">
        <v>42</v>
      </c>
      <c r="T6" s="44" t="s">
        <v>43</v>
      </c>
      <c r="U6" s="44"/>
      <c r="V6" s="45"/>
      <c r="W6" s="44"/>
      <c r="X6" s="45"/>
      <c r="Y6" s="46"/>
      <c r="Z6" s="3"/>
      <c r="AA6" s="136"/>
      <c r="AB6" s="137"/>
      <c r="AC6" s="137"/>
      <c r="AD6" s="138"/>
      <c r="AE6" s="92"/>
      <c r="AF6" s="44" t="s">
        <v>42</v>
      </c>
      <c r="AG6" s="44" t="s">
        <v>43</v>
      </c>
      <c r="AH6" s="44"/>
      <c r="AI6" s="45"/>
      <c r="AJ6" s="44"/>
      <c r="AK6" s="45"/>
      <c r="AL6" s="46"/>
      <c r="AM6" s="3"/>
      <c r="AN6" s="3"/>
      <c r="AO6" s="3"/>
      <c r="AP6" s="3"/>
      <c r="AQ6" s="3"/>
      <c r="AR6" s="3"/>
      <c r="AS6" s="3"/>
    </row>
    <row r="7" spans="1:45">
      <c r="A7" s="1"/>
      <c r="B7" s="123"/>
      <c r="C7" s="123"/>
      <c r="D7" s="125"/>
      <c r="E7" s="127"/>
      <c r="F7" s="127"/>
      <c r="G7" s="28"/>
      <c r="H7" s="28"/>
      <c r="I7" s="28"/>
      <c r="J7" s="28"/>
      <c r="K7" s="28"/>
      <c r="L7" s="28"/>
      <c r="M7" s="1"/>
      <c r="N7" s="1"/>
      <c r="O7" s="1"/>
      <c r="P7" s="3"/>
      <c r="Q7" s="53">
        <v>13</v>
      </c>
      <c r="R7" s="54">
        <f>HLOOKUP($R$5,$S$5:$Y$15,3,FALSE)</f>
        <v>1200</v>
      </c>
      <c r="S7" s="55">
        <v>1200</v>
      </c>
      <c r="T7" s="55">
        <v>1200</v>
      </c>
      <c r="U7" s="55"/>
      <c r="V7" s="56"/>
      <c r="W7" s="56"/>
      <c r="X7" s="56"/>
      <c r="Y7" s="57"/>
      <c r="Z7" s="3"/>
      <c r="AA7" s="93" t="s">
        <v>46</v>
      </c>
      <c r="AB7" s="71">
        <v>0</v>
      </c>
      <c r="AC7" s="94" t="s">
        <v>82</v>
      </c>
      <c r="AD7" s="95">
        <v>20</v>
      </c>
      <c r="AE7" s="54">
        <f>HLOOKUP($AE$5,$AF$5:$AL$16,3,FALSE)</f>
        <v>15</v>
      </c>
      <c r="AF7" s="55">
        <v>0</v>
      </c>
      <c r="AG7" s="55">
        <v>15</v>
      </c>
      <c r="AH7" s="55"/>
      <c r="AI7" s="56"/>
      <c r="AJ7" s="56"/>
      <c r="AK7" s="56"/>
      <c r="AL7" s="57"/>
      <c r="AM7" s="3"/>
      <c r="AN7" s="3"/>
      <c r="AO7" s="3"/>
      <c r="AP7" s="3"/>
      <c r="AQ7" s="3"/>
      <c r="AR7" s="3"/>
      <c r="AS7" s="3"/>
    </row>
    <row r="8" spans="1:45">
      <c r="A8" s="1"/>
      <c r="B8" s="65">
        <f>料金計算ツール!E12</f>
        <v>20</v>
      </c>
      <c r="C8" s="96">
        <f>料金計算ツール!E14</f>
        <v>40</v>
      </c>
      <c r="D8" s="66">
        <f>SUMIF($Q$7:$Q$15,B8,$R$7:$R$15)</f>
        <v>1200</v>
      </c>
      <c r="E8" s="66">
        <f>ROUNDDOWN(SUMPRODUCT($G$5:$L$5,$G8:$L8),0)</f>
        <v>2100</v>
      </c>
      <c r="F8" s="66">
        <f>SUM(D8:E8)</f>
        <v>3300</v>
      </c>
      <c r="G8" s="67">
        <f>IF($G$3&lt;$C8,20,$C8)</f>
        <v>20</v>
      </c>
      <c r="H8" s="67">
        <f>IF($H$3&lt;$C8,$H$3-$G$3,IF($C8-$G8&lt;0,0,$C8-$G8))</f>
        <v>20</v>
      </c>
      <c r="I8" s="67">
        <f>IF(I$3&lt;$C8,$I$3-$H$3,IF($C8-SUM($G8:H8)&lt;0,0,$C8-SUM($G8:H8)))</f>
        <v>0</v>
      </c>
      <c r="J8" s="67">
        <f>IF(J$3&lt;$C8,J$3-I$3,IF($C8-SUM($G8:I8)&lt;0,0,$C8-SUM($G8:I8)))</f>
        <v>0</v>
      </c>
      <c r="K8" s="67">
        <f>IF(K$3&lt;$C8,K$3-J$3,IF($C8-SUM($G8:J8)&lt;0,0,$C8-SUM($G8:J8)))</f>
        <v>0</v>
      </c>
      <c r="L8" s="67">
        <f>IF(L$3&lt;$C8,L$3-K$3,IF($C8-SUM($G8:K8)&lt;0,0,$C8-SUM($G8:K8)))</f>
        <v>0</v>
      </c>
      <c r="M8" s="1"/>
      <c r="N8" s="1"/>
      <c r="O8" s="1"/>
      <c r="P8" s="3"/>
      <c r="Q8" s="68">
        <v>20</v>
      </c>
      <c r="R8" s="69">
        <f>HLOOKUP($R$5,$S$5:$Y$15,4,FALSE)</f>
        <v>1200</v>
      </c>
      <c r="S8" s="70">
        <f>S7</f>
        <v>1200</v>
      </c>
      <c r="T8" s="70">
        <f>T7</f>
        <v>1200</v>
      </c>
      <c r="U8" s="70"/>
      <c r="V8" s="71"/>
      <c r="W8" s="71"/>
      <c r="X8" s="71"/>
      <c r="Y8" s="72"/>
      <c r="Z8" s="3"/>
      <c r="AA8" s="97" t="s">
        <v>47</v>
      </c>
      <c r="AB8" s="71">
        <f>AD7+1</f>
        <v>21</v>
      </c>
      <c r="AC8" s="94" t="s">
        <v>82</v>
      </c>
      <c r="AD8" s="95">
        <v>50</v>
      </c>
      <c r="AE8" s="54">
        <f>HLOOKUP($AE$5,$AF$5:$AL$16,4,FALSE)</f>
        <v>90</v>
      </c>
      <c r="AF8" s="55">
        <v>80</v>
      </c>
      <c r="AG8" s="55">
        <v>90</v>
      </c>
      <c r="AH8" s="55"/>
      <c r="AI8" s="56"/>
      <c r="AJ8" s="56"/>
      <c r="AK8" s="56"/>
      <c r="AL8" s="57"/>
      <c r="AM8" s="3"/>
      <c r="AN8" s="3"/>
      <c r="AO8" s="3"/>
      <c r="AP8" s="3"/>
      <c r="AQ8" s="3"/>
      <c r="AR8" s="3"/>
      <c r="AS8" s="3"/>
    </row>
    <row r="9" spans="1:45">
      <c r="A9" s="1"/>
      <c r="B9" s="74"/>
      <c r="C9" s="74"/>
      <c r="D9" s="74"/>
      <c r="E9" s="74" t="s">
        <v>129</v>
      </c>
      <c r="F9" s="74"/>
      <c r="G9" s="74"/>
      <c r="H9" s="74"/>
      <c r="I9" s="74"/>
      <c r="J9" s="74"/>
      <c r="K9" s="74"/>
      <c r="L9" s="74"/>
      <c r="M9" s="1"/>
      <c r="N9" s="1"/>
      <c r="O9" s="1"/>
      <c r="P9" s="3"/>
      <c r="Q9" s="68">
        <v>25</v>
      </c>
      <c r="R9" s="69">
        <f>HLOOKUP($R$5,$S$5:$Y$15,5,FALSE)</f>
        <v>1200</v>
      </c>
      <c r="S9" s="70">
        <f t="shared" ref="S9:T14" si="1">S8</f>
        <v>1200</v>
      </c>
      <c r="T9" s="70">
        <f t="shared" si="1"/>
        <v>1200</v>
      </c>
      <c r="U9" s="70"/>
      <c r="V9" s="71"/>
      <c r="W9" s="71"/>
      <c r="X9" s="71"/>
      <c r="Y9" s="72"/>
      <c r="Z9" s="3"/>
      <c r="AA9" s="97" t="s">
        <v>48</v>
      </c>
      <c r="AB9" s="71">
        <f t="shared" ref="AB9:AB12" si="2">AD8+1</f>
        <v>51</v>
      </c>
      <c r="AC9" s="94" t="s">
        <v>82</v>
      </c>
      <c r="AD9" s="95">
        <v>100</v>
      </c>
      <c r="AE9" s="54">
        <f>HLOOKUP($AE$5,$AF$5:$AL$16,5,FALSE)</f>
        <v>120</v>
      </c>
      <c r="AF9" s="55">
        <v>90</v>
      </c>
      <c r="AG9" s="55">
        <v>120</v>
      </c>
      <c r="AH9" s="55"/>
      <c r="AI9" s="56"/>
      <c r="AJ9" s="56"/>
      <c r="AK9" s="56"/>
      <c r="AL9" s="57"/>
      <c r="AM9" s="3"/>
      <c r="AN9" s="3"/>
      <c r="AO9" s="3"/>
      <c r="AP9" s="3"/>
      <c r="AQ9" s="3"/>
      <c r="AR9" s="3"/>
      <c r="AS9" s="3"/>
    </row>
    <row r="10" spans="1:45">
      <c r="A10" s="1"/>
      <c r="B10" s="74" t="s">
        <v>49</v>
      </c>
      <c r="C10" s="1"/>
      <c r="D10" s="74" t="str">
        <f>D11&amp;E11&amp;F11&amp;G11&amp;H11&amp;I11</f>
        <v>メータ口径20ミリメートルで、使用水量40立方メートルの場合</v>
      </c>
      <c r="E10" s="74"/>
      <c r="F10" s="74"/>
      <c r="G10" s="74"/>
      <c r="H10" s="74"/>
      <c r="I10" s="74"/>
      <c r="J10" s="74"/>
      <c r="K10" s="74"/>
      <c r="L10" s="74"/>
      <c r="M10" s="1"/>
      <c r="N10" s="1"/>
      <c r="O10" s="1"/>
      <c r="P10" s="3"/>
      <c r="Q10" s="68">
        <v>30</v>
      </c>
      <c r="R10" s="69">
        <f>HLOOKUP($R$5,$S$5:$Y$15,6,FALSE)</f>
        <v>1200</v>
      </c>
      <c r="S10" s="70">
        <f t="shared" si="1"/>
        <v>1200</v>
      </c>
      <c r="T10" s="70">
        <f t="shared" si="1"/>
        <v>1200</v>
      </c>
      <c r="U10" s="70"/>
      <c r="V10" s="71"/>
      <c r="W10" s="71"/>
      <c r="X10" s="71"/>
      <c r="Y10" s="72"/>
      <c r="Z10" s="3"/>
      <c r="AA10" s="97" t="s">
        <v>50</v>
      </c>
      <c r="AB10" s="71">
        <f t="shared" si="2"/>
        <v>101</v>
      </c>
      <c r="AC10" s="94" t="s">
        <v>82</v>
      </c>
      <c r="AD10" s="95">
        <v>150</v>
      </c>
      <c r="AE10" s="54">
        <f>HLOOKUP($AE$5,$AF$5:$AL$16,6,FALSE)</f>
        <v>150</v>
      </c>
      <c r="AF10" s="55">
        <v>120</v>
      </c>
      <c r="AG10" s="55">
        <v>150</v>
      </c>
      <c r="AH10" s="55"/>
      <c r="AI10" s="56"/>
      <c r="AJ10" s="56"/>
      <c r="AK10" s="56"/>
      <c r="AL10" s="57"/>
      <c r="AM10" s="3"/>
      <c r="AN10" s="3"/>
      <c r="AO10" s="3"/>
      <c r="AP10" s="3"/>
      <c r="AQ10" s="3"/>
      <c r="AR10" s="3"/>
      <c r="AS10" s="3"/>
    </row>
    <row r="11" spans="1:45">
      <c r="A11" s="1"/>
      <c r="B11" s="74"/>
      <c r="C11" s="74"/>
      <c r="D11" s="75" t="s">
        <v>56</v>
      </c>
      <c r="E11" s="74">
        <f>B8</f>
        <v>20</v>
      </c>
      <c r="F11" s="74" t="s">
        <v>103</v>
      </c>
      <c r="G11" s="74"/>
      <c r="H11" s="74">
        <f>C8</f>
        <v>40</v>
      </c>
      <c r="I11" s="74" t="s">
        <v>104</v>
      </c>
      <c r="J11" s="74"/>
      <c r="K11" s="74"/>
      <c r="L11" s="74"/>
      <c r="M11" s="1"/>
      <c r="N11" s="1"/>
      <c r="O11" s="1"/>
      <c r="P11" s="3"/>
      <c r="Q11" s="68">
        <v>40</v>
      </c>
      <c r="R11" s="69">
        <f>HLOOKUP($R$5,$S$5:$Y$15,7,FALSE)</f>
        <v>1200</v>
      </c>
      <c r="S11" s="70">
        <f t="shared" si="1"/>
        <v>1200</v>
      </c>
      <c r="T11" s="70">
        <f t="shared" si="1"/>
        <v>1200</v>
      </c>
      <c r="U11" s="70"/>
      <c r="V11" s="71"/>
      <c r="W11" s="71"/>
      <c r="X11" s="71"/>
      <c r="Y11" s="72"/>
      <c r="Z11" s="3"/>
      <c r="AA11" s="97" t="s">
        <v>51</v>
      </c>
      <c r="AB11" s="71">
        <f t="shared" si="2"/>
        <v>151</v>
      </c>
      <c r="AC11" s="94" t="s">
        <v>82</v>
      </c>
      <c r="AD11" s="98">
        <v>200</v>
      </c>
      <c r="AE11" s="54">
        <f>HLOOKUP($AE$5,$AF$5:$AL$16,7,FALSE)</f>
        <v>160</v>
      </c>
      <c r="AF11" s="55">
        <v>130</v>
      </c>
      <c r="AG11" s="55">
        <v>160</v>
      </c>
      <c r="AH11" s="55"/>
      <c r="AI11" s="56"/>
      <c r="AJ11" s="56"/>
      <c r="AK11" s="56"/>
      <c r="AL11" s="57"/>
      <c r="AM11" s="3"/>
      <c r="AN11" s="3"/>
      <c r="AO11" s="3"/>
      <c r="AP11" s="3"/>
      <c r="AQ11" s="3"/>
      <c r="AR11" s="3"/>
      <c r="AS11" s="3"/>
    </row>
    <row r="12" spans="1:45">
      <c r="A12" s="1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1"/>
      <c r="N12" s="1"/>
      <c r="O12" s="1"/>
      <c r="P12" s="3"/>
      <c r="Q12" s="68">
        <v>50</v>
      </c>
      <c r="R12" s="69">
        <f>HLOOKUP($R$5,$S$5:$Y$15,8,FALSE)</f>
        <v>1200</v>
      </c>
      <c r="S12" s="70">
        <f t="shared" si="1"/>
        <v>1200</v>
      </c>
      <c r="T12" s="70">
        <f t="shared" si="1"/>
        <v>1200</v>
      </c>
      <c r="U12" s="70"/>
      <c r="V12" s="71"/>
      <c r="W12" s="71"/>
      <c r="X12" s="71"/>
      <c r="Y12" s="72"/>
      <c r="Z12" s="3"/>
      <c r="AA12" s="97" t="s">
        <v>52</v>
      </c>
      <c r="AB12" s="71">
        <f t="shared" si="2"/>
        <v>201</v>
      </c>
      <c r="AC12" s="94" t="s">
        <v>82</v>
      </c>
      <c r="AD12" s="98">
        <v>2000000</v>
      </c>
      <c r="AE12" s="54">
        <f>HLOOKUP($AE$5,$AF$5:$AL$16,8,FALSE)</f>
        <v>170</v>
      </c>
      <c r="AF12" s="55">
        <v>140</v>
      </c>
      <c r="AG12" s="55">
        <v>170</v>
      </c>
      <c r="AH12" s="55"/>
      <c r="AI12" s="56"/>
      <c r="AJ12" s="56"/>
      <c r="AK12" s="56"/>
      <c r="AL12" s="57"/>
      <c r="AM12" s="3"/>
      <c r="AN12" s="3"/>
      <c r="AO12" s="3"/>
      <c r="AP12" s="3"/>
      <c r="AQ12" s="3"/>
      <c r="AR12" s="3"/>
      <c r="AS12" s="3"/>
    </row>
    <row r="13" spans="1:45">
      <c r="A13" s="1"/>
      <c r="B13" s="74"/>
      <c r="C13" s="74"/>
      <c r="D13" s="74" t="s">
        <v>83</v>
      </c>
      <c r="E13" s="74" t="str">
        <f>E14&amp;F14&amp;G14</f>
        <v>一般用ですので、1200円です。</v>
      </c>
      <c r="F13" s="74"/>
      <c r="G13" s="74"/>
      <c r="H13" s="74"/>
      <c r="I13" s="74"/>
      <c r="J13" s="74"/>
      <c r="K13" s="74"/>
      <c r="L13" s="74"/>
      <c r="M13" s="1"/>
      <c r="N13" s="1"/>
      <c r="O13" s="1"/>
      <c r="P13" s="3"/>
      <c r="Q13" s="68">
        <v>75</v>
      </c>
      <c r="R13" s="69">
        <f>HLOOKUP($R$5,$S$5:$Y$15,9,FALSE)</f>
        <v>1200</v>
      </c>
      <c r="S13" s="70">
        <f t="shared" si="1"/>
        <v>1200</v>
      </c>
      <c r="T13" s="70">
        <f t="shared" si="1"/>
        <v>1200</v>
      </c>
      <c r="U13" s="70"/>
      <c r="V13" s="71"/>
      <c r="W13" s="71"/>
      <c r="X13" s="71"/>
      <c r="Y13" s="72"/>
      <c r="Z13" s="3"/>
      <c r="AA13" s="97" t="s">
        <v>53</v>
      </c>
      <c r="AB13" s="71"/>
      <c r="AC13" s="94"/>
      <c r="AD13" s="98"/>
      <c r="AE13" s="54"/>
      <c r="AF13" s="70"/>
      <c r="AG13" s="70"/>
      <c r="AH13" s="70"/>
      <c r="AI13" s="71"/>
      <c r="AJ13" s="71"/>
      <c r="AK13" s="71"/>
      <c r="AL13" s="72"/>
      <c r="AM13" s="3"/>
      <c r="AN13" s="3"/>
      <c r="AO13" s="3"/>
      <c r="AP13" s="3"/>
      <c r="AQ13" s="3"/>
      <c r="AR13" s="3"/>
      <c r="AS13" s="3"/>
    </row>
    <row r="14" spans="1:45">
      <c r="A14" s="1"/>
      <c r="B14" s="74"/>
      <c r="C14" s="74"/>
      <c r="D14" s="1"/>
      <c r="E14" s="74" t="s">
        <v>84</v>
      </c>
      <c r="F14" s="74">
        <f>D8</f>
        <v>1200</v>
      </c>
      <c r="G14" s="74" t="s">
        <v>85</v>
      </c>
      <c r="H14" s="74"/>
      <c r="I14" s="74"/>
      <c r="J14" s="74"/>
      <c r="K14" s="74"/>
      <c r="L14" s="74"/>
      <c r="M14" s="1"/>
      <c r="N14" s="1"/>
      <c r="O14" s="1"/>
      <c r="P14" s="3"/>
      <c r="Q14" s="68">
        <v>100</v>
      </c>
      <c r="R14" s="69">
        <f>HLOOKUP($R$5,$S$5:$Y$15,10,FALSE)</f>
        <v>1200</v>
      </c>
      <c r="S14" s="70">
        <f t="shared" si="1"/>
        <v>1200</v>
      </c>
      <c r="T14" s="70">
        <f t="shared" si="1"/>
        <v>1200</v>
      </c>
      <c r="U14" s="70"/>
      <c r="V14" s="76"/>
      <c r="W14" s="76"/>
      <c r="X14" s="76"/>
      <c r="Y14" s="72"/>
      <c r="Z14" s="3"/>
      <c r="AA14" s="97" t="s">
        <v>55</v>
      </c>
      <c r="AB14" s="71"/>
      <c r="AC14" s="94"/>
      <c r="AD14" s="95"/>
      <c r="AE14" s="54"/>
      <c r="AF14" s="70"/>
      <c r="AG14" s="70"/>
      <c r="AH14" s="70"/>
      <c r="AI14" s="71"/>
      <c r="AJ14" s="71"/>
      <c r="AK14" s="71"/>
      <c r="AL14" s="72"/>
      <c r="AM14" s="3"/>
      <c r="AN14" s="3"/>
      <c r="AO14" s="3"/>
      <c r="AP14" s="3"/>
      <c r="AQ14" s="3"/>
      <c r="AR14" s="3"/>
      <c r="AS14" s="3"/>
    </row>
    <row r="15" spans="1:45" ht="18.600000000000001" thickBot="1">
      <c r="A15" s="1"/>
      <c r="B15" s="74"/>
      <c r="C15" s="74"/>
      <c r="D15" s="74" t="s">
        <v>86</v>
      </c>
      <c r="E15" s="74"/>
      <c r="F15" s="74"/>
      <c r="G15" s="74"/>
      <c r="H15" s="74"/>
      <c r="I15" s="74"/>
      <c r="J15" s="74"/>
      <c r="K15" s="74"/>
      <c r="L15" s="74"/>
      <c r="M15" s="1"/>
      <c r="N15" s="1"/>
      <c r="O15" s="1"/>
      <c r="P15" s="3"/>
      <c r="Q15" s="77">
        <v>150</v>
      </c>
      <c r="R15" s="78"/>
      <c r="S15" s="80"/>
      <c r="T15" s="80"/>
      <c r="U15" s="80"/>
      <c r="V15" s="81"/>
      <c r="W15" s="81"/>
      <c r="X15" s="81"/>
      <c r="Y15" s="82"/>
      <c r="Z15" s="3"/>
      <c r="AA15" s="97"/>
      <c r="AB15" s="71"/>
      <c r="AC15" s="94"/>
      <c r="AD15" s="95"/>
      <c r="AE15" s="54"/>
      <c r="AF15" s="70"/>
      <c r="AG15" s="70"/>
      <c r="AH15" s="70"/>
      <c r="AI15" s="71"/>
      <c r="AJ15" s="71"/>
      <c r="AK15" s="71"/>
      <c r="AL15" s="72"/>
      <c r="AM15" s="3"/>
      <c r="AN15" s="3"/>
      <c r="AO15" s="3"/>
      <c r="AP15" s="3"/>
      <c r="AQ15" s="3"/>
      <c r="AR15" s="3"/>
      <c r="AS15" s="3"/>
    </row>
    <row r="16" spans="1:45" ht="18.600000000000001" thickBot="1">
      <c r="A16" s="1"/>
      <c r="B16" s="74"/>
      <c r="C16" s="74"/>
      <c r="E16" s="74" t="s">
        <v>87</v>
      </c>
      <c r="F16" s="74" t="str">
        <f>E16&amp;":"&amp;F17&amp;G17&amp;H17&amp;I17&amp;J17&amp;K17&amp;L17</f>
        <v>0～20㎥:0から20立方メートルまで　20立方メートル×15円＝300円</v>
      </c>
      <c r="G16" s="1"/>
      <c r="H16" s="74"/>
      <c r="I16" s="74"/>
      <c r="J16" s="74"/>
      <c r="K16" s="1"/>
      <c r="L16" s="74"/>
      <c r="M16" s="1"/>
      <c r="N16" s="1"/>
      <c r="O16" s="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99"/>
      <c r="AB16" s="100"/>
      <c r="AC16" s="101"/>
      <c r="AD16" s="102"/>
      <c r="AE16" s="78"/>
      <c r="AF16" s="80"/>
      <c r="AG16" s="80"/>
      <c r="AH16" s="80"/>
      <c r="AI16" s="100"/>
      <c r="AJ16" s="100"/>
      <c r="AK16" s="100"/>
      <c r="AL16" s="82"/>
      <c r="AM16" s="3"/>
      <c r="AN16" s="3"/>
      <c r="AO16" s="3"/>
      <c r="AP16" s="3"/>
      <c r="AQ16" s="3"/>
      <c r="AR16" s="3"/>
      <c r="AS16" s="3"/>
    </row>
    <row r="17" spans="1:45">
      <c r="A17" s="1"/>
      <c r="B17" s="74"/>
      <c r="C17" s="74"/>
      <c r="D17" s="1"/>
      <c r="E17" s="1"/>
      <c r="F17" s="74" t="s">
        <v>107</v>
      </c>
      <c r="G17" s="74">
        <f>G8</f>
        <v>20</v>
      </c>
      <c r="H17" s="1" t="s">
        <v>88</v>
      </c>
      <c r="I17" s="74">
        <f>G5</f>
        <v>15</v>
      </c>
      <c r="J17" s="74" t="s">
        <v>89</v>
      </c>
      <c r="K17" s="74">
        <f>G17*I17</f>
        <v>300</v>
      </c>
      <c r="L17" s="74" t="s">
        <v>90</v>
      </c>
      <c r="M17" s="1"/>
      <c r="N17" s="1"/>
      <c r="O17" s="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>
      <c r="A18" s="1"/>
      <c r="B18" s="74"/>
      <c r="C18" s="74"/>
      <c r="D18" s="1"/>
      <c r="E18" s="74" t="s">
        <v>91</v>
      </c>
      <c r="F18" s="74" t="str">
        <f>E18&amp;":"&amp;F19&amp;G19&amp;H19&amp;I19&amp;J19&amp;K19&amp;L19</f>
        <v>21～50㎥:21から50立方メートルまで　20立方メートル×90円＝1800円</v>
      </c>
      <c r="G18" s="74"/>
      <c r="H18" s="74"/>
      <c r="I18" s="74"/>
      <c r="J18" s="74"/>
      <c r="K18" s="1"/>
      <c r="L18" s="74"/>
      <c r="M18" s="1"/>
      <c r="N18" s="1"/>
      <c r="O18" s="1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>
      <c r="A19" s="1"/>
      <c r="B19" s="74"/>
      <c r="C19" s="74"/>
      <c r="D19" s="1"/>
      <c r="E19" s="1"/>
      <c r="F19" s="74" t="s">
        <v>92</v>
      </c>
      <c r="G19" s="89">
        <f>H8</f>
        <v>20</v>
      </c>
      <c r="H19" s="1" t="s">
        <v>88</v>
      </c>
      <c r="I19" s="74">
        <f>H5</f>
        <v>90</v>
      </c>
      <c r="J19" s="74" t="s">
        <v>89</v>
      </c>
      <c r="K19" s="74">
        <f>G19*I19</f>
        <v>1800</v>
      </c>
      <c r="L19" s="74" t="s">
        <v>90</v>
      </c>
      <c r="M19" s="7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>
      <c r="A20" s="1"/>
      <c r="B20" s="74"/>
      <c r="C20" s="74"/>
      <c r="D20" s="1"/>
      <c r="E20" s="74" t="s">
        <v>93</v>
      </c>
      <c r="F20" s="74" t="str">
        <f>E20&amp;":"&amp;F21&amp;G21&amp;H21&amp;I21&amp;J21&amp;K21&amp;L21</f>
        <v>51～100㎥:51から100立方メートルまで　0立方メートル×120円＝0円</v>
      </c>
      <c r="G20" s="74"/>
      <c r="H20" s="74"/>
      <c r="I20" s="74"/>
      <c r="J20" s="7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>
      <c r="A21" s="1"/>
      <c r="B21" s="74"/>
      <c r="C21" s="74"/>
      <c r="D21" s="1"/>
      <c r="E21" s="1"/>
      <c r="F21" s="74" t="s">
        <v>94</v>
      </c>
      <c r="G21" s="89">
        <f>I8</f>
        <v>0</v>
      </c>
      <c r="H21" s="1" t="s">
        <v>88</v>
      </c>
      <c r="I21" s="74">
        <f>I5</f>
        <v>120</v>
      </c>
      <c r="J21" s="74" t="s">
        <v>89</v>
      </c>
      <c r="K21" s="74">
        <f>G21*I21</f>
        <v>0</v>
      </c>
      <c r="L21" s="74" t="s">
        <v>90</v>
      </c>
      <c r="M21" s="7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>
      <c r="A22" s="1"/>
      <c r="B22" s="74"/>
      <c r="C22" s="74"/>
      <c r="D22" s="1"/>
      <c r="E22" s="74" t="s">
        <v>95</v>
      </c>
      <c r="F22" s="74" t="str">
        <f>E22&amp;":"&amp;F23&amp;G23&amp;H23&amp;I23&amp;J23&amp;K23&amp;L23</f>
        <v>101～150㎥:101から150立方メートルまで　0立方メートル×150円＝0円</v>
      </c>
      <c r="G22" s="74"/>
      <c r="H22" s="74"/>
      <c r="I22" s="74"/>
      <c r="J22" s="74"/>
      <c r="K22" s="1"/>
      <c r="L22" s="7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>
      <c r="A23" s="1"/>
      <c r="B23" s="74"/>
      <c r="C23" s="74"/>
      <c r="D23" s="1"/>
      <c r="E23" s="1"/>
      <c r="F23" s="74" t="s">
        <v>96</v>
      </c>
      <c r="G23" s="89">
        <f>J8</f>
        <v>0</v>
      </c>
      <c r="H23" s="1" t="s">
        <v>88</v>
      </c>
      <c r="I23" s="74">
        <f>J5</f>
        <v>150</v>
      </c>
      <c r="J23" s="74" t="s">
        <v>89</v>
      </c>
      <c r="K23" s="74">
        <f>G23*I23</f>
        <v>0</v>
      </c>
      <c r="L23" s="74" t="s">
        <v>90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36">
      <c r="A24" s="1"/>
      <c r="B24" s="74"/>
      <c r="C24" s="74"/>
      <c r="D24" s="1"/>
      <c r="E24" s="103" t="s">
        <v>97</v>
      </c>
      <c r="F24" s="74" t="str">
        <f>E24&amp;":"&amp;F25&amp;G25&amp;H25&amp;I25&amp;J25&amp;K25&amp;L25</f>
        <v>151～200㎥:151から200立方メートルまで　0立方メートル×160円＝0円</v>
      </c>
      <c r="G24" s="74"/>
      <c r="H24" s="74"/>
      <c r="I24" s="74"/>
      <c r="J24" s="7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>
      <c r="A25" s="1"/>
      <c r="B25" s="74"/>
      <c r="C25" s="74"/>
      <c r="D25" s="1"/>
      <c r="E25" s="1"/>
      <c r="F25" s="74" t="s">
        <v>98</v>
      </c>
      <c r="G25" s="89">
        <f>K8</f>
        <v>0</v>
      </c>
      <c r="H25" s="1" t="s">
        <v>88</v>
      </c>
      <c r="I25" s="74">
        <f>K5</f>
        <v>160</v>
      </c>
      <c r="J25" s="74" t="s">
        <v>89</v>
      </c>
      <c r="K25" s="74">
        <f>G25*I25</f>
        <v>0</v>
      </c>
      <c r="L25" s="74" t="s">
        <v>90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>
      <c r="A26" s="1"/>
      <c r="B26" s="74"/>
      <c r="C26" s="74"/>
      <c r="D26" s="1"/>
      <c r="E26" s="103" t="s">
        <v>99</v>
      </c>
      <c r="F26" s="74" t="str">
        <f>E26&amp;":"&amp;F27&amp;G27&amp;H27&amp;I27&amp;J27&amp;K27&amp;L27</f>
        <v>201㎥以上:51から100立方メートルまで　0立方メートル×170円＝0円</v>
      </c>
      <c r="G26" s="74"/>
      <c r="H26" s="74"/>
      <c r="I26" s="74"/>
      <c r="J26" s="74"/>
      <c r="K26" s="74"/>
      <c r="L26" s="7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>
      <c r="A27" s="1"/>
      <c r="B27" s="74"/>
      <c r="C27" s="74"/>
      <c r="D27" s="1"/>
      <c r="E27" s="1"/>
      <c r="F27" s="74" t="s">
        <v>94</v>
      </c>
      <c r="G27" s="89">
        <f>L8</f>
        <v>0</v>
      </c>
      <c r="H27" s="1" t="s">
        <v>88</v>
      </c>
      <c r="I27" s="74">
        <f>L5</f>
        <v>170</v>
      </c>
      <c r="J27" s="74" t="s">
        <v>89</v>
      </c>
      <c r="K27" s="74">
        <f>G27*I27</f>
        <v>0</v>
      </c>
      <c r="L27" s="74" t="s">
        <v>90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>
      <c r="A28" s="1"/>
      <c r="B28" s="74"/>
      <c r="C28" s="74"/>
      <c r="D28" s="1"/>
      <c r="E28" s="1"/>
      <c r="F28" s="74"/>
      <c r="G28" s="74"/>
      <c r="H28" s="74"/>
      <c r="I28" s="74"/>
      <c r="J28" s="74"/>
      <c r="K28" s="74"/>
      <c r="L28" s="7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>
      <c r="A29" s="1"/>
      <c r="B29" s="74"/>
      <c r="C29" s="74"/>
      <c r="D29" s="74"/>
      <c r="E29" s="1"/>
      <c r="F29" s="74" t="s">
        <v>100</v>
      </c>
      <c r="G29" s="74">
        <f>SUM(K17:K27)</f>
        <v>2100</v>
      </c>
      <c r="H29" s="74" t="s">
        <v>90</v>
      </c>
      <c r="I29" s="74"/>
      <c r="J29" s="74"/>
      <c r="K29" s="74"/>
      <c r="L29" s="7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>
      <c r="A30" s="1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>
      <c r="A31" s="1"/>
      <c r="B31" s="74"/>
      <c r="C31" s="74"/>
      <c r="D31" s="74"/>
      <c r="E31" s="1"/>
      <c r="F31" s="74" t="s">
        <v>101</v>
      </c>
      <c r="G31" s="74">
        <f>D8</f>
        <v>1200</v>
      </c>
      <c r="H31" s="74" t="s">
        <v>102</v>
      </c>
      <c r="I31" s="74">
        <f>E8</f>
        <v>2100</v>
      </c>
      <c r="J31" s="74" t="s">
        <v>89</v>
      </c>
      <c r="K31" s="74">
        <f>G31+I31</f>
        <v>3300</v>
      </c>
      <c r="L31" s="74" t="s">
        <v>90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>
      <c r="A32" s="1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>
      <c r="A33" s="1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>
      <c r="A34" s="1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>
      <c r="A35" s="1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>
      <c r="A36" s="1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>
      <c r="A37" s="1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>
      <c r="A38" s="1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>
      <c r="A39" s="1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>
      <c r="A40" s="1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>
      <c r="A41" s="1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>
      <c r="A42" s="1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>
      <c r="A43" s="1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>
      <c r="A44" s="1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>
      <c r="A45" s="1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>
      <c r="A46" s="1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>
      <c r="A47" s="1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>
      <c r="A48" s="1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>
      <c r="A49" s="1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>
      <c r="A50" s="1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>
      <c r="A51" s="1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>
      <c r="A52" s="1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>
      <c r="A53" s="1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>
      <c r="A54" s="1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>
      <c r="A55" s="1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>
      <c r="A56" s="1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>
      <c r="A57" s="1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</sheetData>
  <mergeCells count="7">
    <mergeCell ref="AA5:AD6"/>
    <mergeCell ref="B2:B7"/>
    <mergeCell ref="C2:C7"/>
    <mergeCell ref="D2:D7"/>
    <mergeCell ref="E2:E7"/>
    <mergeCell ref="F2:F7"/>
    <mergeCell ref="Q5:Q6"/>
  </mergeCells>
  <phoneticPr fontId="3"/>
  <dataValidations count="1">
    <dataValidation type="list" allowBlank="1" showInputMessage="1" showErrorMessage="1" sqref="R5" xr:uid="{18327CB8-4380-40E8-ABB6-F6ECCC8757B1}">
      <formula1>$S$5:$X$5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690C3-3FB4-42F3-BF87-52387BA61B68}">
  <dimension ref="B7:G22"/>
  <sheetViews>
    <sheetView topLeftCell="A4" workbookViewId="0">
      <selection activeCell="E31" sqref="E30:E31"/>
    </sheetView>
  </sheetViews>
  <sheetFormatPr defaultRowHeight="18"/>
  <cols>
    <col min="2" max="2" width="25.796875" customWidth="1"/>
  </cols>
  <sheetData>
    <row r="7" spans="2:7">
      <c r="B7" s="19" t="s">
        <v>19</v>
      </c>
      <c r="C7" s="19">
        <v>20</v>
      </c>
      <c r="D7" s="19">
        <v>20</v>
      </c>
      <c r="E7" s="19">
        <v>20</v>
      </c>
      <c r="F7" s="19">
        <v>50</v>
      </c>
      <c r="G7" s="19">
        <v>75</v>
      </c>
    </row>
    <row r="8" spans="2:7" ht="19.8">
      <c r="B8" s="19" t="s">
        <v>20</v>
      </c>
      <c r="C8" s="19">
        <v>16</v>
      </c>
      <c r="D8" s="19">
        <v>32</v>
      </c>
      <c r="E8" s="19">
        <v>64</v>
      </c>
      <c r="F8" s="19">
        <v>500</v>
      </c>
      <c r="G8" s="19">
        <v>3000</v>
      </c>
    </row>
    <row r="9" spans="2:7">
      <c r="B9" s="19" t="s">
        <v>21</v>
      </c>
      <c r="C9" s="20">
        <v>2618</v>
      </c>
      <c r="D9" s="20">
        <v>4906</v>
      </c>
      <c r="E9" s="20">
        <v>9834</v>
      </c>
      <c r="F9" s="20">
        <v>125840</v>
      </c>
      <c r="G9" s="20">
        <v>850872</v>
      </c>
    </row>
    <row r="10" spans="2:7">
      <c r="B10" s="19" t="s">
        <v>22</v>
      </c>
      <c r="C10" s="20">
        <v>1584</v>
      </c>
      <c r="D10" s="20">
        <v>2838</v>
      </c>
      <c r="E10" s="20">
        <v>6468</v>
      </c>
      <c r="F10" s="20">
        <v>84370</v>
      </c>
      <c r="G10" s="20">
        <v>551870</v>
      </c>
    </row>
    <row r="11" spans="2:7">
      <c r="B11" s="19" t="s">
        <v>23</v>
      </c>
      <c r="C11" s="21">
        <f>C9+C10</f>
        <v>4202</v>
      </c>
      <c r="D11" s="21">
        <f t="shared" ref="D11:F11" si="0">D9+D10</f>
        <v>7744</v>
      </c>
      <c r="E11" s="21">
        <f t="shared" si="0"/>
        <v>16302</v>
      </c>
      <c r="F11" s="21">
        <f t="shared" si="0"/>
        <v>210210</v>
      </c>
      <c r="G11" s="21">
        <f t="shared" ref="G11" si="1">G9+G10</f>
        <v>1402742</v>
      </c>
    </row>
    <row r="14" spans="2:7">
      <c r="C14">
        <f>料金計算ツール!E12</f>
        <v>20</v>
      </c>
    </row>
    <row r="15" spans="2:7">
      <c r="C15" s="104">
        <f>料金計算ツール!E14</f>
        <v>40</v>
      </c>
    </row>
    <row r="16" spans="2:7">
      <c r="C16" s="104">
        <f>料金計算ツール!E18</f>
        <v>9768</v>
      </c>
    </row>
    <row r="17" spans="3:3">
      <c r="C17" s="104">
        <f>料金計算ツール!E19</f>
        <v>0</v>
      </c>
    </row>
    <row r="18" spans="3:3">
      <c r="C18" s="104">
        <f>料金計算ツール!E20</f>
        <v>6138</v>
      </c>
    </row>
    <row r="19" spans="3:3">
      <c r="C19" s="104">
        <f>料金計算ツール!E21</f>
        <v>0</v>
      </c>
    </row>
    <row r="20" spans="3:3">
      <c r="C20" s="104">
        <f>料金計算ツール!E22</f>
        <v>3630</v>
      </c>
    </row>
    <row r="21" spans="3:3">
      <c r="C21" s="104"/>
    </row>
    <row r="22" spans="3:3">
      <c r="C22" s="104"/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7D1E-D4C4-4481-BA58-B4546A32D3CA}">
  <dimension ref="C1:X17"/>
  <sheetViews>
    <sheetView workbookViewId="0">
      <selection activeCell="E31" sqref="E30:E31"/>
    </sheetView>
  </sheetViews>
  <sheetFormatPr defaultRowHeight="18"/>
  <sheetData>
    <row r="1" spans="3:24">
      <c r="D1" s="109" t="s">
        <v>117</v>
      </c>
    </row>
    <row r="2" spans="3:24">
      <c r="D2" s="108" t="s">
        <v>108</v>
      </c>
    </row>
    <row r="3" spans="3:24">
      <c r="D3" s="110" t="s">
        <v>105</v>
      </c>
    </row>
    <row r="4" spans="3:24">
      <c r="C4" s="1"/>
      <c r="D4" s="108" t="s">
        <v>109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3:24">
      <c r="D5" s="111" t="s">
        <v>110</v>
      </c>
    </row>
    <row r="6" spans="3:24">
      <c r="D6" s="111" t="s">
        <v>111</v>
      </c>
    </row>
    <row r="7" spans="3:24">
      <c r="D7" s="112" t="s">
        <v>112</v>
      </c>
    </row>
    <row r="8" spans="3:24">
      <c r="D8" s="112" t="s">
        <v>113</v>
      </c>
    </row>
    <row r="9" spans="3:24">
      <c r="D9" s="112" t="s">
        <v>114</v>
      </c>
    </row>
    <row r="10" spans="3:24">
      <c r="D10" s="112" t="s">
        <v>115</v>
      </c>
    </row>
    <row r="11" spans="3:24">
      <c r="D11" s="111" t="s">
        <v>116</v>
      </c>
    </row>
    <row r="12" spans="3:24">
      <c r="D12" s="109" t="s">
        <v>118</v>
      </c>
    </row>
    <row r="13" spans="3:24">
      <c r="D13" s="105" t="s">
        <v>123</v>
      </c>
    </row>
    <row r="14" spans="3:24">
      <c r="D14" s="111" t="s">
        <v>119</v>
      </c>
    </row>
    <row r="15" spans="3:24">
      <c r="D15" s="111" t="s">
        <v>120</v>
      </c>
    </row>
    <row r="16" spans="3:24">
      <c r="D16" s="111" t="s">
        <v>121</v>
      </c>
    </row>
    <row r="17" spans="4:4">
      <c r="D17" s="111" t="s">
        <v>122</v>
      </c>
    </row>
  </sheetData>
  <phoneticPr fontId="3"/>
  <hyperlinks>
    <hyperlink ref="D3" r:id="rId1" location="e000000949" display="https://www1.g-reiki.net/saitama-miyoshi/reiki_honbun/e348RG00000561.html - e000000949" xr:uid="{F7E1D2E1-8AD7-4F61-BC03-C4DE55A56948}"/>
    <hyperlink ref="D13" r:id="rId2" display="https://www1.g-reiki.net/saitama-miyoshi/reiki_honbun/e348RG00000562.html" xr:uid="{B3C3A4D2-268C-4CFF-976C-446F316EBA38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料金計算ツール</vt:lpstr>
      <vt:lpstr>非表示⇒</vt:lpstr>
      <vt:lpstr>水道(2月)</vt:lpstr>
      <vt:lpstr>下水道(2月)</vt:lpstr>
      <vt:lpstr>料金確認</vt:lpstr>
      <vt:lpstr>給水条例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恵美（Nakamura Megumi）</dc:creator>
  <cp:lastModifiedBy>IU25033</cp:lastModifiedBy>
  <dcterms:created xsi:type="dcterms:W3CDTF">2015-06-05T18:19:34Z</dcterms:created>
  <dcterms:modified xsi:type="dcterms:W3CDTF">2026-05-11T02:08:17Z</dcterms:modified>
</cp:coreProperties>
</file>